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autoCompressPictures="0"/>
  <mc:AlternateContent xmlns:mc="http://schemas.openxmlformats.org/markup-compatibility/2006">
    <mc:Choice Requires="x15">
      <x15ac:absPath xmlns:x15ac="http://schemas.microsoft.com/office/spreadsheetml/2010/11/ac" url="Q:\2020 Annette\Conflict Minerals Report Template -- Annette Holly Michelle ---\"/>
    </mc:Choice>
  </mc:AlternateContent>
  <xr:revisionPtr revIDLastSave="0" documentId="8_{D4B53BF8-08A9-4CE8-898E-BE9CEBA42811}" xr6:coauthVersionLast="47" xr6:coauthVersionMax="47" xr10:uidLastSave="{00000000-0000-0000-0000-000000000000}"/>
  <workbookProtection workbookAlgorithmName="SHA-512" workbookHashValue="rvg8cOjtmdU8r+G5zmq9xgQGFCsoSSuLtqIdvhzlGhKoB0M1Gg+vbEzN2TsGCA0D1XccGCfWAvemNs9p218BXQ==" workbookSaltValue="MtRO4tgDoIq2XvVAi9G+Ew==" workbookSpinCount="100000" lockStructure="1"/>
  <bookViews>
    <workbookView xWindow="11895" yWindow="3300" windowWidth="26775" windowHeight="1237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62" i="9" l="1"/>
  <c r="B16" i="1"/>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1" i="5" s="1"/>
  <c r="B2500" i="5"/>
  <c r="C2500" i="5"/>
  <c r="AB2500" i="5"/>
  <c r="V2500" i="5"/>
  <c r="E2500" i="5"/>
  <c r="X2500" i="5" s="1"/>
  <c r="T2500" i="5"/>
  <c r="S2500" i="5"/>
  <c r="R2500" i="5"/>
  <c r="J2500" i="5"/>
  <c r="I2500" i="5"/>
  <c r="H2500" i="5"/>
  <c r="G2500" i="5"/>
  <c r="F2500" i="5"/>
  <c r="B54" i="6"/>
  <c r="B53" i="6"/>
  <c r="G53" i="6" s="1"/>
  <c r="P27" i="4"/>
  <c r="P26" i="4"/>
  <c r="G54" i="6"/>
  <c r="B58" i="6"/>
  <c r="G58" i="6" s="1"/>
  <c r="B56" i="6"/>
  <c r="G56" i="6"/>
  <c r="P37" i="4"/>
  <c r="Q37" i="4" s="1"/>
  <c r="B43" i="4" s="1"/>
  <c r="A27" i="6" s="1"/>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G21" i="6"/>
  <c r="B84" i="4"/>
  <c r="P35" i="4"/>
  <c r="P34" i="4"/>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s="1"/>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c r="B49" i="6"/>
  <c r="G49" i="6"/>
  <c r="B48" i="6"/>
  <c r="G48" i="6"/>
  <c r="B46" i="6"/>
  <c r="G46" i="6"/>
  <c r="B45" i="6"/>
  <c r="G45" i="6"/>
  <c r="B44" i="6"/>
  <c r="G44" i="6"/>
  <c r="B43" i="6"/>
  <c r="G43" i="6"/>
  <c r="B41" i="6"/>
  <c r="G41" i="6"/>
  <c r="B40" i="6"/>
  <c r="G40" i="6"/>
  <c r="H40" i="6" s="1"/>
  <c r="D40" i="6" s="1"/>
  <c r="B39" i="6"/>
  <c r="G39" i="6"/>
  <c r="B38" i="6"/>
  <c r="G38" i="6"/>
  <c r="B36" i="6"/>
  <c r="G36" i="6"/>
  <c r="B35" i="6"/>
  <c r="G35" i="6"/>
  <c r="B34" i="6"/>
  <c r="G34" i="6"/>
  <c r="B33" i="6"/>
  <c r="G33" i="6" s="1"/>
  <c r="B31" i="6"/>
  <c r="G31" i="6"/>
  <c r="B30" i="6"/>
  <c r="G30" i="6"/>
  <c r="B29" i="6"/>
  <c r="G29" i="6"/>
  <c r="H29" i="6"/>
  <c r="D29" i="6"/>
  <c r="B28" i="6"/>
  <c r="G28" i="6"/>
  <c r="B26" i="6"/>
  <c r="G26" i="6"/>
  <c r="B18" i="6"/>
  <c r="F26" i="6"/>
  <c r="B25" i="6"/>
  <c r="G25" i="6"/>
  <c r="B24" i="6"/>
  <c r="G24" i="6"/>
  <c r="B23" i="6"/>
  <c r="G23" i="6" s="1"/>
  <c r="H23" i="6" s="1"/>
  <c r="D23" i="6" s="1"/>
  <c r="B17" i="6"/>
  <c r="F25" i="6"/>
  <c r="B16" i="6"/>
  <c r="B15" i="6"/>
  <c r="H14" i="6"/>
  <c r="B13" i="6"/>
  <c r="G13" i="6"/>
  <c r="H13" i="6" s="1"/>
  <c r="D13" i="6" s="1"/>
  <c r="B12" i="6"/>
  <c r="G12" i="6" s="1"/>
  <c r="H12" i="6" s="1"/>
  <c r="D12" i="6" s="1"/>
  <c r="B11" i="6"/>
  <c r="G11" i="6" s="1"/>
  <c r="H11" i="6" s="1"/>
  <c r="D11" i="6" s="1"/>
  <c r="B10" i="6"/>
  <c r="G10" i="6" s="1"/>
  <c r="H10" i="6" s="1"/>
  <c r="D10" i="6" s="1"/>
  <c r="B9" i="6"/>
  <c r="G9" i="6"/>
  <c r="H9" i="6" s="1"/>
  <c r="D9" i="6" s="1"/>
  <c r="B8" i="6"/>
  <c r="G8" i="6" s="1"/>
  <c r="H8" i="6" s="1"/>
  <c r="D8" i="6" s="1"/>
  <c r="B7" i="6"/>
  <c r="G7" i="6"/>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S310" i="5"/>
  <c r="T310" i="5"/>
  <c r="S512" i="5"/>
  <c r="T512" i="5"/>
  <c r="T681" i="5"/>
  <c r="S681" i="5"/>
  <c r="T745" i="5"/>
  <c r="S745" i="5"/>
  <c r="S761" i="5"/>
  <c r="S201" i="5"/>
  <c r="S574" i="5"/>
  <c r="AB1221" i="5"/>
  <c r="T1378" i="5"/>
  <c r="S156" i="5"/>
  <c r="S324" i="5"/>
  <c r="AB396" i="5"/>
  <c r="AB400" i="5"/>
  <c r="I524" i="5"/>
  <c r="H1612" i="5"/>
  <c r="AB324"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AB278"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T138" i="5"/>
  <c r="S138" i="5"/>
  <c r="T280" i="5"/>
  <c r="T560" i="5"/>
  <c r="T538" i="5"/>
  <c r="AB966" i="5"/>
  <c r="T652" i="5"/>
  <c r="T698" i="5"/>
  <c r="S575"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S1136" i="5"/>
  <c r="T2206" i="5"/>
  <c r="AB2206" i="5"/>
  <c r="I2311" i="5"/>
  <c r="E2311" i="5"/>
  <c r="X2311" i="5" s="1"/>
  <c r="G2311" i="5"/>
  <c r="AB28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78" i="5"/>
  <c r="S84" i="5"/>
  <c r="S80" i="5"/>
  <c r="T84" i="5"/>
  <c r="S81" i="5"/>
  <c r="S79" i="5"/>
  <c r="S90" i="5"/>
  <c r="T87" i="5"/>
  <c r="S82" i="5"/>
  <c r="T81" i="5"/>
  <c r="T86" i="5"/>
  <c r="T79" i="5"/>
  <c r="T90"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R140" i="5"/>
  <c r="J755" i="5"/>
  <c r="H2328" i="5"/>
  <c r="G364" i="5"/>
  <c r="I2366" i="5"/>
  <c r="F2406" i="5"/>
  <c r="J680" i="5"/>
  <c r="R510" i="5"/>
  <c r="H2271" i="5"/>
  <c r="J2271" i="5"/>
  <c r="J638" i="5"/>
  <c r="E2119" i="5"/>
  <c r="X2119" i="5" s="1"/>
  <c r="H2206" i="5"/>
  <c r="H839"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H680" i="5"/>
  <c r="F638" i="5"/>
  <c r="H598" i="5"/>
  <c r="G510" i="5"/>
  <c r="I2206" i="5"/>
  <c r="F2206" i="5"/>
  <c r="R1046" i="5"/>
  <c r="I598" i="5"/>
  <c r="E1552" i="5"/>
  <c r="X1552" i="5" s="1"/>
  <c r="R680" i="5"/>
  <c r="G2271" i="5"/>
  <c r="G638" i="5"/>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F128" i="5"/>
  <c r="H534" i="5"/>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J192" i="5"/>
  <c r="R462" i="5"/>
  <c r="E1544" i="5"/>
  <c r="X1544" i="5" s="1"/>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R1511" i="5"/>
  <c r="G1435" i="5"/>
  <c r="J2491" i="5"/>
  <c r="I1711" i="5"/>
  <c r="J1711" i="5"/>
  <c r="S962" i="5"/>
  <c r="H2440"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R142" i="5"/>
  <c r="H920" i="5"/>
  <c r="F1855" i="5"/>
  <c r="I1435" i="5"/>
  <c r="E2459" i="5"/>
  <c r="X2459" i="5" s="1"/>
  <c r="T869" i="5"/>
  <c r="J560" i="5"/>
  <c r="G560" i="5"/>
  <c r="H264" i="5"/>
  <c r="E1302" i="5"/>
  <c r="X1302" i="5" s="1"/>
  <c r="J2300" i="5"/>
  <c r="F2375"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112" i="5"/>
  <c r="E176" i="5"/>
  <c r="X176" i="5" s="1"/>
  <c r="H1211" i="5"/>
  <c r="J1179" i="5"/>
  <c r="J315" i="5"/>
  <c r="J2243" i="5"/>
  <c r="E2094" i="5"/>
  <c r="X2094" i="5" s="1"/>
  <c r="E839" i="5"/>
  <c r="X839" i="5" s="1"/>
  <c r="H2094" i="5"/>
  <c r="AB2351" i="5"/>
  <c r="R1643" i="5"/>
  <c r="I435" i="5"/>
  <c r="T822" i="5"/>
  <c r="G1211" i="5"/>
  <c r="F1275" i="5"/>
  <c r="I1483" i="5"/>
  <c r="J839" i="5"/>
  <c r="T2439" i="5"/>
  <c r="S393" i="5"/>
  <c r="E79" i="5"/>
  <c r="X79" i="5" s="1"/>
  <c r="E134" i="5"/>
  <c r="X134" i="5" s="1"/>
  <c r="I176" i="5"/>
  <c r="R1243" i="5"/>
  <c r="E1991" i="5"/>
  <c r="X1991" i="5" s="1"/>
  <c r="I2243" i="5"/>
  <c r="R2094" i="5"/>
  <c r="G2107" i="5"/>
  <c r="R1451" i="5"/>
  <c r="E315" i="5"/>
  <c r="X315" i="5" s="1"/>
  <c r="F1879" i="5"/>
  <c r="E1167" i="5"/>
  <c r="X1167" i="5" s="1"/>
  <c r="F429" i="5"/>
  <c r="J1211" i="5"/>
  <c r="G1272" i="5"/>
  <c r="S2439" i="5"/>
  <c r="G2230" i="5"/>
  <c r="I134" i="5"/>
  <c r="H198" i="5"/>
  <c r="H1000" i="5"/>
  <c r="F112" i="5"/>
  <c r="H751" i="5"/>
  <c r="F2243" i="5"/>
  <c r="J2107" i="5"/>
  <c r="G355" i="5"/>
  <c r="J1451" i="5"/>
  <c r="S311" i="5"/>
  <c r="T682" i="5"/>
  <c r="E1000" i="5"/>
  <c r="X1000" i="5" s="1"/>
  <c r="E1179" i="5"/>
  <c r="X1179" i="5" s="1"/>
  <c r="F19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G723"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H755" i="5"/>
  <c r="H887" i="5"/>
  <c r="R1711" i="5"/>
  <c r="J1499" i="5"/>
  <c r="F2438" i="5"/>
  <c r="R2183" i="5"/>
  <c r="G2459" i="5"/>
  <c r="H1435" i="5"/>
  <c r="F1711" i="5"/>
  <c r="G2254" i="5"/>
  <c r="I2491" i="5"/>
  <c r="E2438" i="5"/>
  <c r="X2438" i="5" s="1"/>
  <c r="H2015" i="5"/>
  <c r="H575" i="5"/>
  <c r="I391" i="5"/>
  <c r="S433" i="5"/>
  <c r="S994" i="5"/>
  <c r="S705" i="5"/>
  <c r="H880" i="5"/>
  <c r="H128" i="5"/>
  <c r="F424" i="5"/>
  <c r="I544" i="5"/>
  <c r="F350" i="5"/>
  <c r="G691" i="5"/>
  <c r="E755" i="5"/>
  <c r="X755"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T879" i="5"/>
  <c r="S879" i="5"/>
  <c r="S741" i="5"/>
  <c r="E1776" i="5"/>
  <c r="X1776" i="5" s="1"/>
  <c r="H1351" i="5"/>
  <c r="T718" i="5"/>
  <c r="S826" i="5"/>
  <c r="T1223" i="5"/>
  <c r="AB1126" i="5"/>
  <c r="T1194" i="5"/>
  <c r="T1089" i="5"/>
  <c r="T924" i="5"/>
  <c r="T1151" i="5"/>
  <c r="S839"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A23" i="2"/>
  <c r="A5" i="2"/>
  <c r="R520" i="5"/>
  <c r="E1040" i="5"/>
  <c r="X1040" i="5" s="1"/>
  <c r="H731" i="5"/>
  <c r="H182" i="5"/>
  <c r="R342" i="5"/>
  <c r="E118" i="5"/>
  <c r="X118" i="5" s="1"/>
  <c r="J912" i="5"/>
  <c r="J96"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I118" i="5"/>
  <c r="R182" i="5"/>
  <c r="F1040" i="5"/>
  <c r="F1550" i="5"/>
  <c r="E1614" i="5"/>
  <c r="X1614" i="5" s="1"/>
  <c r="E96" i="5"/>
  <c r="X96" i="5" s="1"/>
  <c r="I160" i="5"/>
  <c r="F224" i="5"/>
  <c r="F1528" i="5"/>
  <c r="I1331" i="5"/>
  <c r="J568" i="5"/>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182" i="5"/>
  <c r="J1040" i="5"/>
  <c r="J1550" i="5"/>
  <c r="R1614" i="5"/>
  <c r="I96" i="5"/>
  <c r="J224" i="5"/>
  <c r="J272" i="5"/>
  <c r="H568" i="5"/>
  <c r="F1680" i="5"/>
  <c r="R2421" i="5"/>
  <c r="G1614" i="5"/>
  <c r="I2304" i="5"/>
  <c r="R400" i="5"/>
  <c r="F400" i="5"/>
  <c r="I1476" i="5"/>
  <c r="F1062" i="5"/>
  <c r="J182" i="5"/>
  <c r="F520" i="5"/>
  <c r="I976" i="5"/>
  <c r="J1476" i="5"/>
  <c r="H224" i="5"/>
  <c r="G336" i="5"/>
  <c r="H118" i="5"/>
  <c r="E182" i="5"/>
  <c r="X182" i="5" s="1"/>
  <c r="E520" i="5"/>
  <c r="X520" i="5" s="1"/>
  <c r="E976" i="5"/>
  <c r="X976" i="5" s="1"/>
  <c r="H1680" i="5"/>
  <c r="H160" i="5"/>
  <c r="E224" i="5"/>
  <c r="X224" i="5" s="1"/>
  <c r="R464" i="5"/>
  <c r="I342" i="5"/>
  <c r="J998" i="5"/>
  <c r="E1062" i="5"/>
  <c r="X1062" i="5" s="1"/>
  <c r="J1680" i="5"/>
  <c r="R1680" i="5"/>
  <c r="E1528" i="5"/>
  <c r="X1528" i="5" s="1"/>
  <c r="H600" i="5"/>
  <c r="E2421" i="5"/>
  <c r="X2421" i="5" s="1"/>
  <c r="I2421" i="5"/>
  <c r="F2304" i="5"/>
  <c r="R1235" i="5"/>
  <c r="I1245" i="5"/>
  <c r="F998" i="5"/>
  <c r="G998" i="5"/>
  <c r="R118" i="5"/>
  <c r="I182" i="5"/>
  <c r="J520" i="5"/>
  <c r="H912" i="5"/>
  <c r="F976" i="5"/>
  <c r="I1550" i="5"/>
  <c r="H96" i="5"/>
  <c r="R160" i="5"/>
  <c r="I224" i="5"/>
  <c r="J400" i="5"/>
  <c r="H342" i="5"/>
  <c r="I1424"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H1313"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J531" i="5"/>
  <c r="H487" i="5"/>
  <c r="R1920" i="5"/>
  <c r="F1407" i="5"/>
  <c r="F2053" i="5"/>
  <c r="H790" i="5"/>
  <c r="AB2288" i="5"/>
  <c r="S2065" i="5"/>
  <c r="G2149" i="5"/>
  <c r="H2272" i="5"/>
  <c r="R2005" i="5"/>
  <c r="J1891" i="5"/>
  <c r="I2347" i="5"/>
  <c r="H2347" i="5"/>
  <c r="F460" i="5"/>
  <c r="R1028" i="5"/>
  <c r="E108" i="5"/>
  <c r="X108" i="5" s="1"/>
  <c r="H30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F487" i="5"/>
  <c r="I1920" i="5"/>
  <c r="H2188" i="5"/>
  <c r="G2053" i="5"/>
  <c r="E487" i="5"/>
  <c r="X487" i="5" s="1"/>
  <c r="I1407" i="5"/>
  <c r="AB2396" i="5"/>
  <c r="I2168" i="5"/>
  <c r="AB2193" i="5"/>
  <c r="S1944" i="5"/>
  <c r="S1308" i="5"/>
  <c r="S2460" i="5"/>
  <c r="R669" i="5"/>
  <c r="F717" i="5"/>
  <c r="J380" i="5"/>
  <c r="J460" i="5"/>
  <c r="E340" i="5"/>
  <c r="X34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H1500" i="5"/>
  <c r="G1193" i="5"/>
  <c r="J1041" i="5"/>
  <c r="H2329" i="5"/>
  <c r="I921" i="5"/>
  <c r="E629" i="5"/>
  <c r="X629" i="5" s="1"/>
  <c r="H1041" i="5"/>
  <c r="J341" i="5"/>
  <c r="I461" i="5"/>
  <c r="E729" i="5"/>
  <c r="X729" i="5" s="1"/>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AB1815" i="5"/>
  <c r="AB440" i="5"/>
  <c r="AB238" i="5"/>
  <c r="S372" i="5"/>
  <c r="R1493" i="5"/>
  <c r="J1493" i="5"/>
  <c r="H776" i="5"/>
  <c r="F1072" i="5"/>
  <c r="E1191" i="5"/>
  <c r="X1191" i="5" s="1"/>
  <c r="R1223" i="5"/>
  <c r="R1255" i="5"/>
  <c r="F1287" i="5"/>
  <c r="R1319" i="5"/>
  <c r="I729" i="5"/>
  <c r="E996" i="5"/>
  <c r="X996" i="5" s="1"/>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120" i="5"/>
  <c r="J184" i="5"/>
  <c r="H735" i="5"/>
  <c r="F996"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120" i="5"/>
  <c r="X120" i="5" s="1"/>
  <c r="I184" i="5"/>
  <c r="H729" i="5"/>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120" i="5"/>
  <c r="H671" i="5"/>
  <c r="R729" i="5"/>
  <c r="G577"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R1473" i="5"/>
  <c r="E656" i="5"/>
  <c r="X656" i="5" s="1"/>
  <c r="I2079" i="5"/>
  <c r="F1326" i="5"/>
  <c r="E167" i="5"/>
  <c r="X167" i="5" s="1"/>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E1593" i="5"/>
  <c r="X1593" i="5" s="1"/>
  <c r="E1526" i="5"/>
  <c r="X1526" i="5" s="1"/>
  <c r="S555" i="5"/>
  <c r="G595" i="5"/>
  <c r="G566" i="5"/>
  <c r="AB1459" i="5"/>
  <c r="AB1002" i="5"/>
  <c r="T661" i="5"/>
  <c r="J879" i="5"/>
  <c r="AB351" i="5"/>
  <c r="AB160" i="5"/>
  <c r="AB1694" i="5"/>
  <c r="S742"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J1479" i="5"/>
  <c r="H1479" i="5"/>
  <c r="F1479" i="5"/>
  <c r="I2221" i="5"/>
  <c r="F2221" i="5"/>
  <c r="J2221" i="5"/>
  <c r="H2221" i="5"/>
  <c r="I1839" i="5"/>
  <c r="E1839" i="5"/>
  <c r="X1839" i="5" s="1"/>
  <c r="J1839" i="5"/>
  <c r="H1839" i="5"/>
  <c r="H1385" i="5"/>
  <c r="F793" i="5"/>
  <c r="R1537" i="5"/>
  <c r="R1257" i="5"/>
  <c r="F1257" i="5"/>
  <c r="I793" i="5"/>
  <c r="G803"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I305" i="5"/>
  <c r="H2497"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E665" i="5"/>
  <c r="X665" i="5" s="1"/>
  <c r="F305" i="5"/>
  <c r="G217" i="5"/>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H1353" i="5"/>
  <c r="G1353" i="5"/>
  <c r="I1353" i="5"/>
  <c r="F1353" i="5"/>
  <c r="J1353" i="5"/>
  <c r="H1409" i="5"/>
  <c r="R1409" i="5"/>
  <c r="J1617" i="5"/>
  <c r="I249" i="5"/>
  <c r="G89" i="5"/>
  <c r="I89" i="5"/>
  <c r="F89" i="5"/>
  <c r="J89" i="5"/>
  <c r="E89" i="5"/>
  <c r="X89" i="5" s="1"/>
  <c r="J1225" i="5"/>
  <c r="I1225" i="5"/>
  <c r="G1441" i="5"/>
  <c r="E1441" i="5"/>
  <c r="X1441" i="5" s="1"/>
  <c r="I1441" i="5"/>
  <c r="R1441" i="5"/>
  <c r="J1441" i="5"/>
  <c r="R889" i="5"/>
  <c r="F889" i="5"/>
  <c r="I953" i="5"/>
  <c r="J953" i="5"/>
  <c r="E953" i="5"/>
  <c r="X953" i="5" s="1"/>
  <c r="F953" i="5"/>
  <c r="R2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R697" i="5"/>
  <c r="J1313" i="5"/>
  <c r="E185" i="5"/>
  <c r="X185" i="5" s="1"/>
  <c r="R649" i="5"/>
  <c r="I105" i="5"/>
  <c r="R417" i="5"/>
  <c r="G1529" i="5"/>
  <c r="F185" i="5"/>
  <c r="E905" i="5"/>
  <c r="X905" i="5" s="1"/>
  <c r="J361" i="5"/>
  <c r="G1681" i="5"/>
  <c r="F929" i="5"/>
  <c r="F697" i="5"/>
  <c r="F1313" i="5"/>
  <c r="I185" i="5"/>
  <c r="I649" i="5"/>
  <c r="J905" i="5"/>
  <c r="J1681" i="5"/>
  <c r="E929" i="5"/>
  <c r="X929" i="5" s="1"/>
  <c r="G257" i="5"/>
  <c r="E1009" i="5"/>
  <c r="X1009" i="5" s="1"/>
  <c r="R769" i="5"/>
  <c r="E697" i="5"/>
  <c r="X697" i="5" s="1"/>
  <c r="H257" i="5"/>
  <c r="F257" i="5"/>
  <c r="E2419" i="5"/>
  <c r="X2419" i="5" s="1"/>
  <c r="H2056" i="5"/>
  <c r="F2056" i="5"/>
  <c r="H433" i="5"/>
  <c r="H929" i="5"/>
  <c r="F769" i="5"/>
  <c r="J769" i="5"/>
  <c r="I769" i="5"/>
  <c r="R433" i="5"/>
  <c r="J2328" i="5"/>
  <c r="G2328" i="5"/>
  <c r="E2328" i="5"/>
  <c r="X2328" i="5" s="1"/>
  <c r="R2398" i="5"/>
  <c r="H2398" i="5"/>
  <c r="G2398" i="5"/>
  <c r="T146" i="5"/>
  <c r="S300" i="5"/>
  <c r="S338" i="5"/>
  <c r="J179" i="5"/>
  <c r="V2306" i="5"/>
  <c r="G2306" i="5"/>
  <c r="AB146" i="5"/>
  <c r="V2346" i="5"/>
  <c r="AB1548"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87" i="5"/>
  <c r="S77" i="5"/>
  <c r="S76" i="5"/>
  <c r="S91" i="5"/>
  <c r="S83" i="5"/>
  <c r="T80" i="5"/>
  <c r="T77" i="5"/>
  <c r="S86" i="5"/>
  <c r="T88" i="5"/>
  <c r="T76" i="5"/>
  <c r="T89" i="5"/>
  <c r="H1820" i="5"/>
  <c r="G2116" i="5"/>
  <c r="R2084" i="5"/>
  <c r="E2116" i="5"/>
  <c r="X2116" i="5" s="1"/>
  <c r="H1812" i="5"/>
  <c r="J2084" i="5"/>
  <c r="G2084" i="5"/>
  <c r="R1708" i="5"/>
  <c r="G2100" i="5"/>
  <c r="R2100" i="5"/>
  <c r="I1380" i="5"/>
  <c r="G1420" i="5"/>
  <c r="J2100" i="5"/>
  <c r="J2492" i="5"/>
  <c r="I1420" i="5"/>
  <c r="H1788" i="5"/>
  <c r="F1420" i="5"/>
  <c r="E1388" i="5"/>
  <c r="X1388" i="5" s="1"/>
  <c r="G1820" i="5"/>
  <c r="E197" i="5"/>
  <c r="X197" i="5" s="1"/>
  <c r="J2412" i="5"/>
  <c r="F1913" i="5"/>
  <c r="G1913" i="5"/>
  <c r="R1913" i="5"/>
  <c r="G2137" i="5"/>
  <c r="I1212" i="5"/>
  <c r="G1812" i="5"/>
  <c r="H1708" i="5"/>
  <c r="G1380" i="5"/>
  <c r="F1380" i="5"/>
  <c r="G1340" i="5"/>
  <c r="E2092" i="5"/>
  <c r="X2092" i="5" s="1"/>
  <c r="J1841" i="5"/>
  <c r="J2441" i="5"/>
  <c r="R2145" i="5"/>
  <c r="H2084" i="5"/>
  <c r="I2420" i="5"/>
  <c r="F765" i="5"/>
  <c r="I1253" i="5"/>
  <c r="E1420" i="5"/>
  <c r="X1420" i="5" s="1"/>
  <c r="E2100" i="5"/>
  <c r="X2100" i="5" s="1"/>
  <c r="R2468" i="5"/>
  <c r="R1252" i="5"/>
  <c r="E2420" i="5"/>
  <c r="X2420" i="5" s="1"/>
  <c r="H1084" i="5"/>
  <c r="G2145" i="5"/>
  <c r="H2145" i="5"/>
  <c r="J1236" i="5"/>
  <c r="H2100" i="5"/>
  <c r="E2441" i="5"/>
  <c r="X2441" i="5" s="1"/>
  <c r="E1788" i="5"/>
  <c r="X1788" i="5" s="1"/>
  <c r="H2420" i="5"/>
  <c r="H213" i="5"/>
  <c r="H1180" i="5"/>
  <c r="F1820" i="5"/>
  <c r="F2100" i="5"/>
  <c r="H2468" i="5"/>
  <c r="A29" i="6"/>
  <c r="E1180" i="5"/>
  <c r="X1180" i="5" s="1"/>
  <c r="I1236" i="5"/>
  <c r="R1180" i="5"/>
  <c r="E1236" i="5"/>
  <c r="X1236" i="5" s="1"/>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G1316" i="5"/>
  <c r="G844" i="5"/>
  <c r="E1636" i="5"/>
  <c r="X1636" i="5" s="1"/>
  <c r="I1316"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I2346" i="5"/>
  <c r="R1269" i="5"/>
  <c r="H1269" i="5"/>
  <c r="F1269" i="5"/>
  <c r="F1157" i="5"/>
  <c r="J1157" i="5"/>
  <c r="E1157" i="5"/>
  <c r="X1157" i="5" s="1"/>
  <c r="I1157" i="5"/>
  <c r="H1157" i="5"/>
  <c r="R1157" i="5"/>
  <c r="J1549" i="5"/>
  <c r="H1549" i="5"/>
  <c r="R1549" i="5"/>
  <c r="I1549" i="5"/>
  <c r="E1549" i="5"/>
  <c r="X1549" i="5" s="1"/>
  <c r="S78" i="5"/>
  <c r="S89" i="5"/>
  <c r="S75" i="5"/>
  <c r="S85" i="5"/>
  <c r="S88" i="5"/>
  <c r="S93" i="5"/>
  <c r="F24" i="6"/>
  <c r="F21" i="6"/>
  <c r="F23" i="6"/>
  <c r="F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R1627" i="5"/>
  <c r="G1627" i="5"/>
  <c r="J1627" i="5"/>
  <c r="H1627" i="5"/>
  <c r="F1627" i="5"/>
  <c r="R1899" i="5"/>
  <c r="H1899" i="5"/>
  <c r="J1899" i="5"/>
  <c r="F1899" i="5"/>
  <c r="E1899" i="5"/>
  <c r="X1899" i="5" s="1"/>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J645" i="5"/>
  <c r="H1200" i="5"/>
  <c r="E1077" i="5"/>
  <c r="X1077" i="5" s="1"/>
  <c r="R645" i="5"/>
  <c r="E2384" i="5"/>
  <c r="X2384" i="5" s="1"/>
  <c r="R2384" i="5"/>
  <c r="G1968" i="5"/>
  <c r="E1968" i="5"/>
  <c r="X1968" i="5" s="1"/>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E1691" i="5"/>
  <c r="X1691" i="5" s="1"/>
  <c r="E999" i="5"/>
  <c r="X999" i="5" s="1"/>
  <c r="R904" i="5"/>
  <c r="G839" i="5"/>
  <c r="G187" i="5"/>
  <c r="H613" i="5"/>
  <c r="R613" i="5"/>
  <c r="F276" i="5"/>
  <c r="F1691" i="5"/>
  <c r="I1691" i="5"/>
  <c r="E187" i="5"/>
  <c r="X187" i="5" s="1"/>
  <c r="H1691" i="5"/>
  <c r="H547" i="5"/>
  <c r="H2115" i="5"/>
  <c r="I187" i="5"/>
  <c r="E1563" i="5"/>
  <c r="X1563" i="5" s="1"/>
  <c r="G1691" i="5"/>
  <c r="I190" i="5"/>
  <c r="E1967" i="5"/>
  <c r="X1967" i="5" s="1"/>
  <c r="H187" i="5"/>
  <c r="G1563" i="5"/>
  <c r="R1691" i="5"/>
  <c r="H815" i="5"/>
  <c r="F815" i="5"/>
  <c r="H904" i="5"/>
  <c r="J639" i="5"/>
  <c r="G1967"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772" i="5"/>
  <c r="X1772" i="5" s="1"/>
  <c r="I421" i="5"/>
  <c r="H1853" i="5"/>
  <c r="F1741" i="5"/>
  <c r="F1709" i="5"/>
  <c r="E1117" i="5"/>
  <c r="X1117" i="5" s="1"/>
  <c r="E821" i="5"/>
  <c r="X821" i="5" s="1"/>
  <c r="E789" i="5"/>
  <c r="X789" i="5" s="1"/>
  <c r="I661" i="5"/>
  <c r="H1317" i="5"/>
  <c r="H1021" i="5"/>
  <c r="F581" i="5"/>
  <c r="G508" i="5"/>
  <c r="J2476" i="5"/>
  <c r="E924" i="5"/>
  <c r="X924" i="5" s="1"/>
  <c r="E1697" i="5"/>
  <c r="X1697" i="5" s="1"/>
  <c r="R1521" i="5"/>
  <c r="I1737" i="5"/>
  <c r="E684" i="5"/>
  <c r="X684" i="5" s="1"/>
  <c r="J1748" i="5"/>
  <c r="E1748" i="5"/>
  <c r="X1748" i="5" s="1"/>
  <c r="G1371" i="5"/>
  <c r="J2498" i="5"/>
  <c r="E268" i="5"/>
  <c r="X268" i="5" s="1"/>
  <c r="F268"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H828" i="5"/>
  <c r="R828" i="5"/>
  <c r="G828" i="5"/>
  <c r="E892" i="5"/>
  <c r="X892" i="5" s="1"/>
  <c r="G892" i="5"/>
  <c r="J892" i="5"/>
  <c r="F1036" i="5"/>
  <c r="H1036" i="5"/>
  <c r="G1036" i="5"/>
  <c r="R2220" i="5"/>
  <c r="F2220" i="5"/>
  <c r="I2220" i="5"/>
  <c r="G2220" i="5"/>
  <c r="H2460" i="5"/>
  <c r="R2460" i="5"/>
  <c r="E2460" i="5"/>
  <c r="X2460" i="5" s="1"/>
  <c r="E117" i="5"/>
  <c r="X117" i="5" s="1"/>
  <c r="G117" i="5"/>
  <c r="R117" i="5"/>
  <c r="G213" i="5"/>
  <c r="R213" i="5"/>
  <c r="J213" i="5"/>
  <c r="F213" i="5"/>
  <c r="G645" i="5"/>
  <c r="E645" i="5"/>
  <c r="X645" i="5" s="1"/>
  <c r="F645" i="5"/>
  <c r="J741" i="5"/>
  <c r="G741"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H1356" i="5"/>
  <c r="R2004" i="5"/>
  <c r="E228" i="5"/>
  <c r="X228" i="5" s="1"/>
  <c r="G2004" i="5"/>
  <c r="G149" i="5"/>
  <c r="G1381" i="5"/>
  <c r="J1412" i="5"/>
  <c r="J1777" i="5"/>
  <c r="G981" i="5"/>
  <c r="J1269" i="5"/>
  <c r="I2306" i="5"/>
  <c r="H1756" i="5"/>
  <c r="E2228" i="5"/>
  <c r="X2228" i="5" s="1"/>
  <c r="J925" i="5"/>
  <c r="J677" i="5"/>
  <c r="J149" i="5"/>
  <c r="E605" i="5"/>
  <c r="X605" i="5" s="1"/>
  <c r="E637" i="5"/>
  <c r="X637" i="5" s="1"/>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AB310" i="5"/>
  <c r="V502" i="5"/>
  <c r="AB822" i="5"/>
  <c r="V1078" i="5"/>
  <c r="G1014" i="5"/>
  <c r="V286"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V654" i="5"/>
  <c r="G654" i="5"/>
  <c r="G982" i="5"/>
  <c r="G542" i="5"/>
  <c r="AB79" i="5"/>
  <c r="V366" i="5"/>
  <c r="H6" i="6"/>
  <c r="D6" i="6"/>
  <c r="V1118" i="5"/>
  <c r="AB2498" i="5"/>
  <c r="H21" i="6"/>
  <c r="D21" i="6" s="1"/>
  <c r="G5" i="6"/>
  <c r="H5" i="6" s="1"/>
  <c r="D5" i="6" s="1"/>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I389" i="5"/>
  <c r="F389" i="5"/>
  <c r="G389" i="5"/>
  <c r="G597" i="5"/>
  <c r="E597" i="5"/>
  <c r="X597" i="5" s="1"/>
  <c r="I597" i="5"/>
  <c r="R597" i="5"/>
  <c r="H741" i="5"/>
  <c r="I741" i="5"/>
  <c r="E909" i="5"/>
  <c r="X909" i="5" s="1"/>
  <c r="J909" i="5"/>
  <c r="I1029" i="5"/>
  <c r="E1029" i="5"/>
  <c r="X1029" i="5" s="1"/>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H2346"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R637" i="5"/>
  <c r="R2357" i="5"/>
  <c r="R549" i="5"/>
  <c r="H357" i="5"/>
  <c r="H1212" i="5"/>
  <c r="G1212" i="5"/>
  <c r="E596" i="5"/>
  <c r="X596" i="5" s="1"/>
  <c r="G197" i="5"/>
  <c r="F1276" i="5"/>
  <c r="R1332"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R1619" i="5"/>
  <c r="H1619" i="5"/>
  <c r="I1619" i="5"/>
  <c r="E1619" i="5"/>
  <c r="X1619" i="5" s="1"/>
  <c r="J1619" i="5"/>
  <c r="F1619" i="5"/>
  <c r="F48" i="6"/>
  <c r="F53"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F34" i="6"/>
  <c r="H34" i="6" s="1"/>
  <c r="D34" i="6" s="1"/>
  <c r="F33" i="6"/>
  <c r="F61" i="6"/>
  <c r="F28" i="6"/>
  <c r="H28" i="6" s="1"/>
  <c r="D28" i="6" s="1"/>
  <c r="F38" i="6"/>
  <c r="H53" i="6" l="1"/>
  <c r="H43" i="6"/>
  <c r="H38" i="6"/>
  <c r="H33" i="6"/>
  <c r="D33" i="6" s="1"/>
  <c r="C22" i="5"/>
  <c r="C13" i="6"/>
  <c r="H60" i="6"/>
  <c r="D60" i="6" s="1"/>
  <c r="C2" i="6"/>
  <c r="C6" i="6"/>
  <c r="C5" i="6"/>
  <c r="C4" i="6"/>
  <c r="C7" i="6"/>
  <c r="C8" i="6"/>
  <c r="C10" i="6"/>
  <c r="C12" i="6"/>
  <c r="C9" i="6"/>
  <c r="C11" i="6"/>
  <c r="C14" i="5"/>
  <c r="C6" i="5"/>
  <c r="C62" i="5"/>
  <c r="C54" i="5"/>
  <c r="C46" i="5"/>
  <c r="C38" i="5"/>
  <c r="C30" i="5"/>
  <c r="B12" i="5"/>
  <c r="C69" i="5"/>
  <c r="C61" i="5"/>
  <c r="C53" i="5"/>
  <c r="C45" i="5"/>
  <c r="C37" i="5"/>
  <c r="C29" i="5"/>
  <c r="C21" i="5"/>
  <c r="AB21" i="5" s="1"/>
  <c r="C13" i="5"/>
  <c r="B11" i="5"/>
  <c r="C68" i="5"/>
  <c r="C60" i="5"/>
  <c r="C52" i="5"/>
  <c r="C44" i="5"/>
  <c r="C36" i="5"/>
  <c r="C28" i="5"/>
  <c r="C20" i="5"/>
  <c r="C12" i="5"/>
  <c r="B10" i="5"/>
  <c r="C67" i="5"/>
  <c r="C59" i="5"/>
  <c r="C51" i="5"/>
  <c r="C43" i="5"/>
  <c r="C35" i="5"/>
  <c r="C27" i="5"/>
  <c r="C19" i="5"/>
  <c r="C11" i="5"/>
  <c r="B9" i="5"/>
  <c r="C66" i="5"/>
  <c r="C58" i="5"/>
  <c r="C50" i="5"/>
  <c r="C42" i="5"/>
  <c r="C34" i="5"/>
  <c r="C26" i="5"/>
  <c r="C18" i="5"/>
  <c r="C10" i="5"/>
  <c r="B8" i="5"/>
  <c r="C65" i="5"/>
  <c r="C57" i="5"/>
  <c r="C49" i="5"/>
  <c r="C41" i="5"/>
  <c r="C33" i="5"/>
  <c r="C25" i="5"/>
  <c r="C17" i="5"/>
  <c r="C9" i="5"/>
  <c r="B15" i="5"/>
  <c r="B7" i="5"/>
  <c r="C64" i="5"/>
  <c r="C56" i="5"/>
  <c r="C48" i="5"/>
  <c r="C40" i="5"/>
  <c r="C32" i="5"/>
  <c r="C24" i="5"/>
  <c r="C16" i="5"/>
  <c r="C8" i="5"/>
  <c r="B14" i="5"/>
  <c r="B6" i="5"/>
  <c r="B19" i="5"/>
  <c r="C63" i="5"/>
  <c r="C55" i="5"/>
  <c r="C47" i="5"/>
  <c r="C39" i="5"/>
  <c r="C31" i="5"/>
  <c r="C23" i="5"/>
  <c r="C15" i="5"/>
  <c r="C7" i="5"/>
  <c r="B13" i="5"/>
  <c r="B54" i="5"/>
  <c r="B51" i="5"/>
  <c r="B43" i="5"/>
  <c r="B38" i="5"/>
  <c r="B35" i="5"/>
  <c r="B22" i="5"/>
  <c r="B67" i="5"/>
  <c r="B62" i="5"/>
  <c r="B30" i="5"/>
  <c r="B59" i="5"/>
  <c r="AB59" i="5" s="1"/>
  <c r="B27" i="5"/>
  <c r="B46" i="5"/>
  <c r="B68" i="5"/>
  <c r="B60" i="5"/>
  <c r="B52" i="5"/>
  <c r="B44" i="5"/>
  <c r="B36" i="5"/>
  <c r="B28" i="5"/>
  <c r="B20" i="5"/>
  <c r="B66" i="5"/>
  <c r="B58" i="5"/>
  <c r="B50" i="5"/>
  <c r="B42" i="5"/>
  <c r="B34" i="5"/>
  <c r="B26" i="5"/>
  <c r="B18" i="5"/>
  <c r="B65" i="5"/>
  <c r="B57" i="5"/>
  <c r="B49" i="5"/>
  <c r="B41" i="5"/>
  <c r="B33" i="5"/>
  <c r="B25" i="5"/>
  <c r="B17" i="5"/>
  <c r="B64" i="5"/>
  <c r="B56" i="5"/>
  <c r="B48" i="5"/>
  <c r="B40" i="5"/>
  <c r="B32" i="5"/>
  <c r="B24" i="5"/>
  <c r="B16" i="5"/>
  <c r="C5" i="5"/>
  <c r="B63" i="5"/>
  <c r="B55" i="5"/>
  <c r="B47" i="5"/>
  <c r="B39" i="5"/>
  <c r="B31" i="5"/>
  <c r="B23" i="5"/>
  <c r="B5" i="5"/>
  <c r="B69" i="5"/>
  <c r="B61" i="5"/>
  <c r="B53" i="5"/>
  <c r="B45" i="5"/>
  <c r="B37" i="5"/>
  <c r="B29" i="5"/>
  <c r="B57" i="4"/>
  <c r="A39" i="6" s="1"/>
  <c r="A24" i="6"/>
  <c r="B75" i="4"/>
  <c r="A54" i="6" s="1"/>
  <c r="B63" i="4"/>
  <c r="A44" i="6" s="1"/>
  <c r="C40" i="6"/>
  <c r="B64" i="4"/>
  <c r="A45" i="6" s="1"/>
  <c r="B2" i="6"/>
  <c r="C24" i="6"/>
  <c r="F50" i="6"/>
  <c r="H50" i="6" s="1"/>
  <c r="D50" i="6" s="1"/>
  <c r="D16" i="6"/>
  <c r="K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K61" i="6"/>
  <c r="C33" i="6"/>
  <c r="C28" i="6"/>
  <c r="G68" i="4"/>
  <c r="G37" i="4"/>
  <c r="G55" i="4"/>
  <c r="G49" i="4"/>
  <c r="D31" i="4"/>
  <c r="B59" i="4"/>
  <c r="A41" i="6" s="1"/>
  <c r="B47" i="4"/>
  <c r="A31" i="6" s="1"/>
  <c r="D68" i="4"/>
  <c r="B62" i="4"/>
  <c r="A43" i="6" s="1"/>
  <c r="B50" i="4"/>
  <c r="A33" i="6" s="1"/>
  <c r="B44" i="4"/>
  <c r="A28" i="6" s="1"/>
  <c r="B74" i="4"/>
  <c r="A53" i="6" s="1"/>
  <c r="D49" i="4"/>
  <c r="G61" i="4"/>
  <c r="AB19" i="5" l="1"/>
  <c r="V22" i="5"/>
  <c r="E22" i="5" s="1"/>
  <c r="X22" i="5" s="1"/>
  <c r="V44" i="5"/>
  <c r="E44" i="5" s="1"/>
  <c r="X44" i="5" s="1"/>
  <c r="V16" i="5"/>
  <c r="R16" i="5" s="1"/>
  <c r="AB51" i="5"/>
  <c r="AB15" i="5"/>
  <c r="AB8" i="5"/>
  <c r="V7" i="5"/>
  <c r="J7" i="5" s="1"/>
  <c r="V38" i="5"/>
  <c r="F38" i="5" s="1"/>
  <c r="AB43" i="5"/>
  <c r="V54" i="5"/>
  <c r="I54" i="5" s="1"/>
  <c r="V52" i="5"/>
  <c r="G52" i="5" s="1"/>
  <c r="AB11" i="5"/>
  <c r="C60" i="6"/>
  <c r="V8" i="5"/>
  <c r="H8" i="5" s="1"/>
  <c r="AB9" i="5"/>
  <c r="V6" i="5"/>
  <c r="R6" i="5" s="1"/>
  <c r="AB14" i="5"/>
  <c r="V11" i="5"/>
  <c r="I11" i="5" s="1"/>
  <c r="AB10" i="5"/>
  <c r="V64" i="5"/>
  <c r="I64" i="5" s="1"/>
  <c r="V21" i="5"/>
  <c r="H21" i="5" s="1"/>
  <c r="V14" i="5"/>
  <c r="J14" i="5" s="1"/>
  <c r="V9" i="5"/>
  <c r="H9" i="5" s="1"/>
  <c r="AB22" i="5"/>
  <c r="V13" i="5"/>
  <c r="H13" i="5" s="1"/>
  <c r="V59" i="5"/>
  <c r="I59" i="5" s="1"/>
  <c r="AB7" i="5"/>
  <c r="AB6" i="5"/>
  <c r="V57" i="5"/>
  <c r="R57" i="5" s="1"/>
  <c r="AB27" i="5"/>
  <c r="AB13" i="5"/>
  <c r="V15" i="5"/>
  <c r="F15" i="5" s="1"/>
  <c r="V10" i="5"/>
  <c r="G10" i="5" s="1"/>
  <c r="V19" i="5"/>
  <c r="R19" i="5" s="1"/>
  <c r="V12" i="5"/>
  <c r="G12" i="5" s="1"/>
  <c r="AB12" i="5"/>
  <c r="AB54" i="5"/>
  <c r="V43" i="5"/>
  <c r="I43" i="5" s="1"/>
  <c r="V51" i="5"/>
  <c r="F51" i="5" s="1"/>
  <c r="V67" i="5"/>
  <c r="AB67" i="5"/>
  <c r="AB38" i="5"/>
  <c r="V35" i="5"/>
  <c r="AB35" i="5"/>
  <c r="V27" i="5"/>
  <c r="F27" i="5" s="1"/>
  <c r="AB46" i="5"/>
  <c r="V46" i="5"/>
  <c r="V30" i="5"/>
  <c r="AB30" i="5"/>
  <c r="AB62" i="5"/>
  <c r="V62" i="5"/>
  <c r="V69" i="5"/>
  <c r="AB69" i="5"/>
  <c r="AB16" i="5"/>
  <c r="V17" i="5"/>
  <c r="AB17" i="5"/>
  <c r="V20" i="5"/>
  <c r="AB20" i="5"/>
  <c r="AB55" i="5"/>
  <c r="V24" i="5"/>
  <c r="AB24" i="5"/>
  <c r="V53" i="5"/>
  <c r="AB53" i="5"/>
  <c r="AB31" i="5"/>
  <c r="AB64" i="5"/>
  <c r="AB65" i="5"/>
  <c r="V65" i="5"/>
  <c r="AB66" i="5"/>
  <c r="V66" i="5"/>
  <c r="AB68" i="5"/>
  <c r="V68" i="5"/>
  <c r="AB63" i="5"/>
  <c r="V63" i="5"/>
  <c r="V32" i="5"/>
  <c r="AB32" i="5"/>
  <c r="AB33" i="5"/>
  <c r="V33" i="5"/>
  <c r="V34" i="5"/>
  <c r="AB34" i="5"/>
  <c r="AB36" i="5"/>
  <c r="V36" i="5"/>
  <c r="AB47" i="5"/>
  <c r="V47" i="5"/>
  <c r="AB18" i="5"/>
  <c r="V18" i="5"/>
  <c r="V31" i="5"/>
  <c r="V25" i="5"/>
  <c r="AB25" i="5"/>
  <c r="V26" i="5"/>
  <c r="AB26" i="5"/>
  <c r="V28" i="5"/>
  <c r="AB28" i="5"/>
  <c r="V55" i="5"/>
  <c r="AB29" i="5"/>
  <c r="AB40" i="5"/>
  <c r="V40" i="5"/>
  <c r="AB41" i="5"/>
  <c r="V41" i="5"/>
  <c r="V42" i="5"/>
  <c r="AB42" i="5"/>
  <c r="AB44" i="5"/>
  <c r="V29" i="5"/>
  <c r="V61" i="5"/>
  <c r="AB61" i="5"/>
  <c r="V39" i="5"/>
  <c r="AB39" i="5"/>
  <c r="G64" i="6"/>
  <c r="G63" i="6"/>
  <c r="V5" i="5"/>
  <c r="AB37" i="5"/>
  <c r="V37" i="5"/>
  <c r="H64" i="6"/>
  <c r="H63" i="6"/>
  <c r="AB5" i="5"/>
  <c r="V48" i="5"/>
  <c r="AB48" i="5"/>
  <c r="AB49" i="5"/>
  <c r="V49" i="5"/>
  <c r="AB50" i="5"/>
  <c r="V50" i="5"/>
  <c r="AB52" i="5"/>
  <c r="AB45" i="5"/>
  <c r="V45" i="5"/>
  <c r="AB23" i="5"/>
  <c r="V23" i="5"/>
  <c r="AB56" i="5"/>
  <c r="V56" i="5"/>
  <c r="AB57" i="5"/>
  <c r="V58" i="5"/>
  <c r="AB58" i="5"/>
  <c r="V60" i="5"/>
  <c r="AB60" i="5"/>
  <c r="F65" i="6"/>
  <c r="C65" i="6" s="1"/>
  <c r="D49" i="6"/>
  <c r="F51" i="6"/>
  <c r="H51" i="6" s="1"/>
  <c r="D51" i="6" s="1"/>
  <c r="C50" i="6"/>
  <c r="C55" i="6"/>
  <c r="D59" i="6"/>
  <c r="C59" i="6"/>
  <c r="C48" i="6"/>
  <c r="D48" i="6"/>
  <c r="D56" i="6"/>
  <c r="C56" i="6"/>
  <c r="C58" i="6"/>
  <c r="D58" i="6"/>
  <c r="D54" i="6"/>
  <c r="C54" i="6"/>
  <c r="T14" i="5"/>
  <c r="S22" i="5"/>
  <c r="T7" i="5"/>
  <c r="F44" i="5" l="1"/>
  <c r="G44" i="5"/>
  <c r="I44" i="5"/>
  <c r="R44" i="5"/>
  <c r="J44" i="5"/>
  <c r="H44" i="5"/>
  <c r="G61" i="6"/>
  <c r="H61" i="6" s="1"/>
  <c r="C61" i="6" s="1"/>
  <c r="R13" i="5"/>
  <c r="E16" i="5"/>
  <c r="X16" i="5" s="1"/>
  <c r="F22" i="5"/>
  <c r="I16" i="5"/>
  <c r="R22" i="5"/>
  <c r="I22" i="5"/>
  <c r="G22" i="5"/>
  <c r="J22" i="5"/>
  <c r="H22" i="5"/>
  <c r="G7" i="5"/>
  <c r="F7" i="5"/>
  <c r="G15" i="5"/>
  <c r="R7" i="5"/>
  <c r="I7" i="5"/>
  <c r="H7" i="5"/>
  <c r="E7" i="5"/>
  <c r="X7" i="5" s="1"/>
  <c r="J21" i="5"/>
  <c r="J13" i="5"/>
  <c r="E13" i="5"/>
  <c r="X13" i="5" s="1"/>
  <c r="F13" i="5"/>
  <c r="F16" i="5"/>
  <c r="H16" i="5"/>
  <c r="I13" i="5"/>
  <c r="G21" i="5"/>
  <c r="G13" i="5"/>
  <c r="G16" i="5"/>
  <c r="J16" i="5"/>
  <c r="J38" i="5"/>
  <c r="R38" i="5"/>
  <c r="F54" i="5"/>
  <c r="E54" i="5"/>
  <c r="J54" i="5"/>
  <c r="R54" i="5"/>
  <c r="G54" i="5"/>
  <c r="H54" i="5"/>
  <c r="G8" i="5"/>
  <c r="F52" i="5"/>
  <c r="E52" i="5"/>
  <c r="H52" i="5"/>
  <c r="I52" i="5"/>
  <c r="J52" i="5"/>
  <c r="R52" i="5"/>
  <c r="H38" i="5"/>
  <c r="E38" i="5"/>
  <c r="I38" i="5"/>
  <c r="G38" i="5"/>
  <c r="E14" i="5"/>
  <c r="R11" i="5"/>
  <c r="E11" i="5"/>
  <c r="X11" i="5" s="1"/>
  <c r="J43" i="5"/>
  <c r="F21" i="5"/>
  <c r="F8" i="5"/>
  <c r="I8" i="5"/>
  <c r="G14" i="5"/>
  <c r="G11" i="5"/>
  <c r="J64" i="5"/>
  <c r="F64" i="5"/>
  <c r="E8" i="5"/>
  <c r="R8" i="5"/>
  <c r="J8" i="5"/>
  <c r="E21" i="5"/>
  <c r="X21" i="5" s="1"/>
  <c r="H14" i="5"/>
  <c r="F11" i="5"/>
  <c r="G6" i="5"/>
  <c r="H6" i="5"/>
  <c r="F6" i="5"/>
  <c r="J6" i="5"/>
  <c r="H11" i="5"/>
  <c r="J11" i="5"/>
  <c r="E6" i="5"/>
  <c r="I6" i="5"/>
  <c r="H43" i="5"/>
  <c r="R64" i="5"/>
  <c r="G43" i="5"/>
  <c r="R43" i="5"/>
  <c r="G64" i="5"/>
  <c r="E43" i="5"/>
  <c r="X43" i="5" s="1"/>
  <c r="I21" i="5"/>
  <c r="E64" i="5"/>
  <c r="H27" i="5"/>
  <c r="R21" i="5"/>
  <c r="H64" i="5"/>
  <c r="F43" i="5"/>
  <c r="J9" i="5"/>
  <c r="J15" i="5"/>
  <c r="J59" i="5"/>
  <c r="E59" i="5"/>
  <c r="I14" i="5"/>
  <c r="R9" i="5"/>
  <c r="G9" i="5"/>
  <c r="I9" i="5"/>
  <c r="E9" i="5"/>
  <c r="F9" i="5"/>
  <c r="G59" i="5"/>
  <c r="R59" i="5"/>
  <c r="H59" i="5"/>
  <c r="F59" i="5"/>
  <c r="F14" i="5"/>
  <c r="R14" i="5"/>
  <c r="R51" i="5"/>
  <c r="I51" i="5"/>
  <c r="G51" i="5"/>
  <c r="F19" i="5"/>
  <c r="F57" i="5"/>
  <c r="J57" i="5"/>
  <c r="E51" i="5"/>
  <c r="G57" i="5"/>
  <c r="E57" i="5"/>
  <c r="H15" i="5"/>
  <c r="I15" i="5"/>
  <c r="I19" i="5"/>
  <c r="H57" i="5"/>
  <c r="I27" i="5"/>
  <c r="I57" i="5"/>
  <c r="R27" i="5"/>
  <c r="E19" i="5"/>
  <c r="H51" i="5"/>
  <c r="J19" i="5"/>
  <c r="I10" i="5"/>
  <c r="F10" i="5"/>
  <c r="J10" i="5"/>
  <c r="H10" i="5"/>
  <c r="R10" i="5"/>
  <c r="E10" i="5"/>
  <c r="F12" i="5"/>
  <c r="H12" i="5"/>
  <c r="R12" i="5"/>
  <c r="E12" i="5"/>
  <c r="I12" i="5"/>
  <c r="J12" i="5"/>
  <c r="E15" i="5"/>
  <c r="X15" i="5" s="1"/>
  <c r="R15" i="5"/>
  <c r="G19" i="5"/>
  <c r="H19" i="5"/>
  <c r="J51" i="5"/>
  <c r="I67" i="5"/>
  <c r="G67" i="5"/>
  <c r="H67" i="5"/>
  <c r="E67" i="5"/>
  <c r="J67" i="5"/>
  <c r="R67" i="5"/>
  <c r="F67" i="5"/>
  <c r="G27" i="5"/>
  <c r="E27" i="5"/>
  <c r="X27" i="5" s="1"/>
  <c r="H35" i="5"/>
  <c r="E35" i="5"/>
  <c r="J35" i="5"/>
  <c r="I35" i="5"/>
  <c r="G35" i="5"/>
  <c r="R35" i="5"/>
  <c r="F35" i="5"/>
  <c r="J27" i="5"/>
  <c r="R62" i="5"/>
  <c r="G62" i="5"/>
  <c r="H62" i="5"/>
  <c r="I62" i="5"/>
  <c r="F62" i="5"/>
  <c r="J62" i="5"/>
  <c r="E62" i="5"/>
  <c r="I46" i="5"/>
  <c r="E46" i="5"/>
  <c r="J46" i="5"/>
  <c r="F46" i="5"/>
  <c r="R46" i="5"/>
  <c r="H46" i="5"/>
  <c r="G46" i="5"/>
  <c r="E30" i="5"/>
  <c r="F30" i="5"/>
  <c r="R30" i="5"/>
  <c r="H30" i="5"/>
  <c r="I30" i="5"/>
  <c r="G30" i="5"/>
  <c r="J30" i="5"/>
  <c r="R49" i="5"/>
  <c r="J49" i="5"/>
  <c r="H49" i="5"/>
  <c r="G49" i="5"/>
  <c r="I49" i="5"/>
  <c r="F49" i="5"/>
  <c r="E49" i="5"/>
  <c r="E55" i="5"/>
  <c r="I55" i="5"/>
  <c r="H55" i="5"/>
  <c r="R55" i="5"/>
  <c r="F55" i="5"/>
  <c r="J55" i="5"/>
  <c r="G55" i="5"/>
  <c r="R24" i="5"/>
  <c r="J24" i="5"/>
  <c r="H24" i="5"/>
  <c r="F24" i="5"/>
  <c r="E24" i="5"/>
  <c r="I24" i="5"/>
  <c r="G24" i="5"/>
  <c r="I20" i="5"/>
  <c r="H20" i="5"/>
  <c r="J20" i="5"/>
  <c r="E20" i="5"/>
  <c r="R20" i="5"/>
  <c r="F20" i="5"/>
  <c r="G20" i="5"/>
  <c r="R42" i="5"/>
  <c r="H42" i="5"/>
  <c r="E42" i="5"/>
  <c r="F42" i="5"/>
  <c r="I42" i="5"/>
  <c r="J42" i="5"/>
  <c r="G42" i="5"/>
  <c r="F40" i="5"/>
  <c r="R40" i="5"/>
  <c r="G40" i="5"/>
  <c r="H40" i="5"/>
  <c r="I40" i="5"/>
  <c r="J40" i="5"/>
  <c r="E40" i="5"/>
  <c r="F18" i="5"/>
  <c r="E18" i="5"/>
  <c r="G18" i="5"/>
  <c r="I18" i="5"/>
  <c r="J18" i="5"/>
  <c r="R18" i="5"/>
  <c r="H18" i="5"/>
  <c r="F68" i="5"/>
  <c r="H68" i="5"/>
  <c r="G68" i="5"/>
  <c r="E68" i="5"/>
  <c r="R68" i="5"/>
  <c r="I68" i="5"/>
  <c r="J68" i="5"/>
  <c r="R65" i="5"/>
  <c r="E65" i="5"/>
  <c r="I65" i="5"/>
  <c r="H65" i="5"/>
  <c r="J65" i="5"/>
  <c r="F65" i="5"/>
  <c r="G65" i="5"/>
  <c r="I45" i="5"/>
  <c r="F45" i="5"/>
  <c r="G45" i="5"/>
  <c r="H45" i="5"/>
  <c r="J45" i="5"/>
  <c r="E45" i="5"/>
  <c r="R45" i="5"/>
  <c r="E50" i="5"/>
  <c r="G50" i="5"/>
  <c r="H50" i="5"/>
  <c r="R50" i="5"/>
  <c r="I50" i="5"/>
  <c r="J50" i="5"/>
  <c r="F50" i="5"/>
  <c r="H39" i="5"/>
  <c r="J39" i="5"/>
  <c r="R39" i="5"/>
  <c r="E39" i="5"/>
  <c r="G39" i="5"/>
  <c r="I39" i="5"/>
  <c r="F39" i="5"/>
  <c r="E56" i="5"/>
  <c r="F56" i="5"/>
  <c r="G56" i="5"/>
  <c r="I56" i="5"/>
  <c r="R56" i="5"/>
  <c r="H56" i="5"/>
  <c r="J56" i="5"/>
  <c r="J37" i="5"/>
  <c r="I37" i="5"/>
  <c r="H37" i="5"/>
  <c r="E37" i="5"/>
  <c r="G37" i="5"/>
  <c r="F37" i="5"/>
  <c r="R37" i="5"/>
  <c r="H5" i="5"/>
  <c r="J5" i="5"/>
  <c r="E5" i="5"/>
  <c r="R5" i="5"/>
  <c r="I5" i="5"/>
  <c r="F5" i="5"/>
  <c r="R29" i="5"/>
  <c r="H29" i="5"/>
  <c r="I29" i="5"/>
  <c r="E29" i="5"/>
  <c r="F29" i="5"/>
  <c r="J29" i="5"/>
  <c r="G29" i="5"/>
  <c r="F34" i="5"/>
  <c r="R34" i="5"/>
  <c r="G34" i="5"/>
  <c r="E34" i="5"/>
  <c r="I34" i="5"/>
  <c r="J34" i="5"/>
  <c r="H34" i="5"/>
  <c r="G32" i="5"/>
  <c r="I32" i="5"/>
  <c r="J32" i="5"/>
  <c r="E32" i="5"/>
  <c r="F32" i="5"/>
  <c r="H32" i="5"/>
  <c r="R32" i="5"/>
  <c r="F69" i="5"/>
  <c r="J69" i="5"/>
  <c r="R69" i="5"/>
  <c r="E69" i="5"/>
  <c r="H69" i="5"/>
  <c r="I69" i="5"/>
  <c r="G69" i="5"/>
  <c r="F60" i="5"/>
  <c r="J60" i="5"/>
  <c r="E60" i="5"/>
  <c r="I60" i="5"/>
  <c r="G60" i="5"/>
  <c r="H60" i="5"/>
  <c r="R60" i="5"/>
  <c r="J48" i="5"/>
  <c r="F48" i="5"/>
  <c r="E48" i="5"/>
  <c r="G48" i="5"/>
  <c r="R48" i="5"/>
  <c r="I48" i="5"/>
  <c r="H48" i="5"/>
  <c r="G62" i="6"/>
  <c r="H62" i="6" s="1"/>
  <c r="R61" i="5"/>
  <c r="E61" i="5"/>
  <c r="G61" i="5"/>
  <c r="F61" i="5"/>
  <c r="I61" i="5"/>
  <c r="J61" i="5"/>
  <c r="H61" i="5"/>
  <c r="R41" i="5"/>
  <c r="G41" i="5"/>
  <c r="H41" i="5"/>
  <c r="I41" i="5"/>
  <c r="J41" i="5"/>
  <c r="E41" i="5"/>
  <c r="F41" i="5"/>
  <c r="F28" i="5"/>
  <c r="E28" i="5"/>
  <c r="I28" i="5"/>
  <c r="G28" i="5"/>
  <c r="R28" i="5"/>
  <c r="J28" i="5"/>
  <c r="H28" i="5"/>
  <c r="J25" i="5"/>
  <c r="E25" i="5"/>
  <c r="I25" i="5"/>
  <c r="G25" i="5"/>
  <c r="F25" i="5"/>
  <c r="R25" i="5"/>
  <c r="H25" i="5"/>
  <c r="E47" i="5"/>
  <c r="G47" i="5"/>
  <c r="J47" i="5"/>
  <c r="H47" i="5"/>
  <c r="I47" i="5"/>
  <c r="F47" i="5"/>
  <c r="R47" i="5"/>
  <c r="R53" i="5"/>
  <c r="G53" i="5"/>
  <c r="H53" i="5"/>
  <c r="I53" i="5"/>
  <c r="E53" i="5"/>
  <c r="F53" i="5"/>
  <c r="J53" i="5"/>
  <c r="E17" i="5"/>
  <c r="F17" i="5"/>
  <c r="H17" i="5"/>
  <c r="G17" i="5"/>
  <c r="J17" i="5"/>
  <c r="I17" i="5"/>
  <c r="R17" i="5"/>
  <c r="R23" i="5"/>
  <c r="E23" i="5"/>
  <c r="I23" i="5"/>
  <c r="F23" i="5"/>
  <c r="G23" i="5"/>
  <c r="J23" i="5"/>
  <c r="H23" i="5"/>
  <c r="G5" i="5"/>
  <c r="H26" i="5"/>
  <c r="G26" i="5"/>
  <c r="I26" i="5"/>
  <c r="J26" i="5"/>
  <c r="F26" i="5"/>
  <c r="R26" i="5"/>
  <c r="E26" i="5"/>
  <c r="H36" i="5"/>
  <c r="F36" i="5"/>
  <c r="J36" i="5"/>
  <c r="I36" i="5"/>
  <c r="E36" i="5"/>
  <c r="R36" i="5"/>
  <c r="G36" i="5"/>
  <c r="E63" i="5"/>
  <c r="J63" i="5"/>
  <c r="F63" i="5"/>
  <c r="H63" i="5"/>
  <c r="G63" i="5"/>
  <c r="I63" i="5"/>
  <c r="R63" i="5"/>
  <c r="G66" i="5"/>
  <c r="J66" i="5"/>
  <c r="E66" i="5"/>
  <c r="F66" i="5"/>
  <c r="R66" i="5"/>
  <c r="H66" i="5"/>
  <c r="I66" i="5"/>
  <c r="E58" i="5"/>
  <c r="H58" i="5"/>
  <c r="I58" i="5"/>
  <c r="G58" i="5"/>
  <c r="J58" i="5"/>
  <c r="F58" i="5"/>
  <c r="R58" i="5"/>
  <c r="H31" i="5"/>
  <c r="F31" i="5"/>
  <c r="I31" i="5"/>
  <c r="E31" i="5"/>
  <c r="J31" i="5"/>
  <c r="R31" i="5"/>
  <c r="G31" i="5"/>
  <c r="F33" i="5"/>
  <c r="H33" i="5"/>
  <c r="R33" i="5"/>
  <c r="I33" i="5"/>
  <c r="J33" i="5"/>
  <c r="E33" i="5"/>
  <c r="G33" i="5"/>
  <c r="C51" i="6"/>
  <c r="T36" i="5"/>
  <c r="T40" i="5"/>
  <c r="S21" i="5"/>
  <c r="S9" i="5"/>
  <c r="T32" i="5"/>
  <c r="S10" i="5"/>
  <c r="S16" i="5"/>
  <c r="S19" i="5"/>
  <c r="T44" i="5"/>
  <c r="T57" i="5"/>
  <c r="S8" i="5"/>
  <c r="S15" i="5"/>
  <c r="T65" i="5"/>
  <c r="S35" i="5"/>
  <c r="T43" i="5"/>
  <c r="T25" i="5"/>
  <c r="T9" i="5"/>
  <c r="T69" i="5"/>
  <c r="T45" i="5"/>
  <c r="S46" i="5"/>
  <c r="T6" i="5"/>
  <c r="T58" i="5"/>
  <c r="T8" i="5"/>
  <c r="S14" i="5"/>
  <c r="T48" i="5"/>
  <c r="T66" i="5"/>
  <c r="T19" i="5"/>
  <c r="T11" i="5"/>
  <c r="T39" i="5"/>
  <c r="S67" i="5"/>
  <c r="T55" i="5"/>
  <c r="T61" i="5"/>
  <c r="S57" i="5"/>
  <c r="T52" i="5"/>
  <c r="T67" i="5"/>
  <c r="T30" i="5"/>
  <c r="T53" i="5"/>
  <c r="T26" i="5"/>
  <c r="S43" i="5"/>
  <c r="T28" i="5"/>
  <c r="T12" i="5"/>
  <c r="T46" i="5"/>
  <c r="T23" i="5"/>
  <c r="S38" i="5"/>
  <c r="T60" i="5"/>
  <c r="T20" i="5"/>
  <c r="S51" i="5"/>
  <c r="S6" i="5"/>
  <c r="T13" i="5"/>
  <c r="S13" i="5"/>
  <c r="T22" i="5"/>
  <c r="S59" i="5"/>
  <c r="T18" i="5"/>
  <c r="T27" i="5"/>
  <c r="T64" i="5"/>
  <c r="T5" i="5"/>
  <c r="T59" i="5"/>
  <c r="T56" i="5"/>
  <c r="T41" i="5"/>
  <c r="S44" i="5"/>
  <c r="T38" i="5"/>
  <c r="T24" i="5"/>
  <c r="T34" i="5"/>
  <c r="T62" i="5"/>
  <c r="S30" i="5"/>
  <c r="T16" i="5"/>
  <c r="T35" i="5"/>
  <c r="T15" i="5"/>
  <c r="T51" i="5"/>
  <c r="S62" i="5"/>
  <c r="S52" i="5"/>
  <c r="T29" i="5"/>
  <c r="T68" i="5"/>
  <c r="T10" i="5"/>
  <c r="T31" i="5"/>
  <c r="S64" i="5"/>
  <c r="T42" i="5"/>
  <c r="T37" i="5"/>
  <c r="T49" i="5"/>
  <c r="T33" i="5"/>
  <c r="T17" i="5"/>
  <c r="T47" i="5"/>
  <c r="S12" i="5"/>
  <c r="S54" i="5"/>
  <c r="T54" i="5"/>
  <c r="T21" i="5"/>
  <c r="T50" i="5"/>
  <c r="T63" i="5"/>
  <c r="H66" i="6" l="1"/>
  <c r="D2" i="6" s="1"/>
  <c r="D61" i="6"/>
  <c r="X54" i="5"/>
  <c r="X52" i="5"/>
  <c r="X38" i="5"/>
  <c r="X14" i="5"/>
  <c r="X8" i="5"/>
  <c r="X6" i="5"/>
  <c r="X64" i="5"/>
  <c r="X9" i="5"/>
  <c r="X59" i="5"/>
  <c r="X51" i="5"/>
  <c r="X57" i="5"/>
  <c r="X10" i="5"/>
  <c r="X19" i="5"/>
  <c r="X12" i="5"/>
  <c r="X35" i="5"/>
  <c r="X67" i="5"/>
  <c r="X46" i="5"/>
  <c r="X30" i="5"/>
  <c r="X62" i="5"/>
  <c r="X24" i="5"/>
  <c r="X48" i="5"/>
  <c r="X65" i="5"/>
  <c r="X40" i="5"/>
  <c r="X20" i="5"/>
  <c r="X55" i="5"/>
  <c r="X42" i="5"/>
  <c r="X66" i="5"/>
  <c r="X53" i="5"/>
  <c r="X29" i="5"/>
  <c r="X58" i="5"/>
  <c r="X41" i="5"/>
  <c r="X32" i="5"/>
  <c r="X18" i="5"/>
  <c r="X23" i="5"/>
  <c r="X47" i="5"/>
  <c r="X69" i="5"/>
  <c r="X36" i="5"/>
  <c r="X17" i="5"/>
  <c r="X61" i="5"/>
  <c r="X60" i="5"/>
  <c r="X37" i="5"/>
  <c r="X39" i="5"/>
  <c r="D62" i="6"/>
  <c r="C62" i="6"/>
  <c r="X5" i="5"/>
  <c r="X50" i="5"/>
  <c r="X33" i="5"/>
  <c r="X28" i="5"/>
  <c r="X31" i="5"/>
  <c r="X63" i="5"/>
  <c r="X26" i="5"/>
  <c r="X25" i="5"/>
  <c r="X34" i="5"/>
  <c r="X56" i="5"/>
  <c r="X45" i="5"/>
  <c r="X68" i="5"/>
  <c r="X49" i="5"/>
  <c r="S27" i="5"/>
  <c r="S5" i="5"/>
  <c r="S66" i="5"/>
  <c r="S32" i="5"/>
  <c r="S58" i="5"/>
  <c r="S42" i="5"/>
  <c r="S65" i="5"/>
  <c r="S50" i="5"/>
  <c r="S29" i="5"/>
  <c r="S23" i="5"/>
  <c r="S36" i="5"/>
  <c r="S24" i="5"/>
  <c r="S28" i="5"/>
  <c r="S63" i="5"/>
  <c r="S39" i="5"/>
  <c r="S49" i="5"/>
  <c r="S34" i="5"/>
  <c r="S20" i="5"/>
  <c r="S7" i="5"/>
  <c r="S68" i="5"/>
  <c r="S69" i="5"/>
  <c r="S11" i="5"/>
  <c r="S45" i="5"/>
  <c r="S41" i="5"/>
  <c r="S33" i="5"/>
  <c r="S40" i="5"/>
  <c r="S17" i="5"/>
  <c r="S61" i="5"/>
  <c r="S53" i="5"/>
  <c r="S18" i="5"/>
  <c r="S37" i="5"/>
  <c r="S48" i="5"/>
  <c r="S25" i="5"/>
  <c r="S26" i="5"/>
  <c r="S47" i="5"/>
  <c r="S31" i="5"/>
  <c r="S55" i="5"/>
  <c r="S56" i="5"/>
  <c r="S60" i="5"/>
  <c r="G65" i="6" l="1"/>
  <c r="H65"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<sst xmlns="http://schemas.openxmlformats.org/spreadsheetml/2006/main" count="16888" uniqueCount="14441">
  <si>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</si>
  <si>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</si>
  <si>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</si>
  <si>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</si>
  <si>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</si>
  <si>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</si>
  <si>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</si>
  <si>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</si>
  <si>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</si>
  <si>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</si>
  <si>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</si>
  <si>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</si>
  <si>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</si>
  <si>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</si>
  <si>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</si>
  <si>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</si>
  <si>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</si>
  <si>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</si>
  <si>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</si>
  <si>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</si>
  <si>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</si>
  <si>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</si>
  <si>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</si>
  <si>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</si>
  <si>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</si>
  <si>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</si>
  <si>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</si>
  <si>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</si>
  <si>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</si>
  <si>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</si>
  <si>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</si>
  <si>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</si>
  <si>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</si>
  <si>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</si>
  <si>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</si>
  <si>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</si>
  <si>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</si>
  <si>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</si>
  <si>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</si>
  <si>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</si>
  <si>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</si>
  <si>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</si>
  <si>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</si>
  <si>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</si>
  <si>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</si>
  <si>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</si>
  <si>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</si>
  <si>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</si>
  <si>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</si>
  <si>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</si>
  <si>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</si>
  <si>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</si>
  <si>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</si>
  <si>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</si>
  <si>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</si>
  <si>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</si>
  <si>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</si>
  <si>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</si>
  <si>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</si>
  <si>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</si>
  <si>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</si>
  <si>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</si>
  <si>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</si>
  <si>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</si>
  <si>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</si>
  <si>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</si>
  <si>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</si>
  <si>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</si>
  <si>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</si>
  <si>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</si>
  <si>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</si>
  <si>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</si>
  <si>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</si>
  <si>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</si>
  <si>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</si>
  <si>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</si>
  <si>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</si>
  <si>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</si>
  <si>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</si>
  <si>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</si>
  <si>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</si>
  <si>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</si>
  <si>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</si>
  <si>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</si>
  <si>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</si>
  <si>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</si>
  <si>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</si>
  <si>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</si>
  <si>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</si>
  <si>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</si>
  <si>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</si>
  <si>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</si>
  <si>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</si>
  <si>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</si>
  <si>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</si>
  <si>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</si>
  <si>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</si>
  <si>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</si>
  <si>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</si>
  <si>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</si>
  <si>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</si>
  <si>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</si>
  <si>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</si>
  <si>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</si>
  <si>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</si>
  <si>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</si>
  <si>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</si>
  <si>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</si>
  <si>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</si>
  <si>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</si>
  <si>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</si>
  <si>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</si>
  <si>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</si>
  <si>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</si>
  <si>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</si>
  <si>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</si>
  <si>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</si>
  <si>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</si>
  <si>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</si>
  <si>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</si>
  <si>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</si>
  <si>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</si>
  <si>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</si>
  <si>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</si>
  <si>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</si>
  <si>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</si>
  <si>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</si>
  <si>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</si>
  <si>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</si>
  <si>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</si>
  <si>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</si>
  <si>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</si>
  <si>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</si>
  <si>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</si>
  <si>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</si>
  <si>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</si>
  <si>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</si>
  <si>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</si>
  <si>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</si>
  <si>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</si>
  <si>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</si>
  <si>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</si>
  <si>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</si>
  <si>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</si>
  <si>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</si>
  <si>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</si>
  <si>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</si>
  <si>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</si>
  <si>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</si>
  <si>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</si>
  <si>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</si>
  <si>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</si>
  <si>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</si>
  <si>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</si>
  <si>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</si>
  <si>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</si>
  <si>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</si>
  <si>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</si>
  <si>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</si>
  <si>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</si>
  <si>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</si>
  <si>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</si>
  <si>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</si>
  <si>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</si>
  <si>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</si>
  <si>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</si>
  <si>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</si>
  <si>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</si>
  <si>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</si>
  <si>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</si>
  <si>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</si>
  <si>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</si>
  <si>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</si>
  <si>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</si>
  <si>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</si>
  <si>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</si>
  <si>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</si>
  <si>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</si>
  <si>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</si>
  <si>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</si>
  <si>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</si>
  <si>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</si>
  <si>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</si>
  <si>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</si>
  <si>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</si>
  <si>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</si>
  <si>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</si>
  <si>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</si>
  <si>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</si>
  <si>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</si>
  <si>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</si>
  <si>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</si>
  <si>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</si>
  <si>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</si>
  <si>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</si>
  <si>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</si>
  <si>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</si>
  <si>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</si>
  <si>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</si>
  <si>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</si>
  <si>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</si>
  <si>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</si>
  <si>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</si>
  <si>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</si>
  <si>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</si>
  <si>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</si>
  <si>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</si>
  <si>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</si>
  <si>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</si>
  <si>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</si>
  <si>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</si>
  <si>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</si>
  <si>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</si>
  <si>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</si>
  <si>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</si>
  <si>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</si>
  <si>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</si>
  <si>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</si>
  <si>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</si>
  <si>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</si>
  <si>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</si>
  <si>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</si>
  <si>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</si>
  <si>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</si>
  <si>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</si>
  <si>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</si>
  <si>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</si>
  <si>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</si>
  <si>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</si>
  <si>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</si>
  <si>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</si>
  <si>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</si>
  <si>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</si>
  <si>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</si>
  <si>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</si>
  <si>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</si>
  <si>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</si>
  <si>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</si>
  <si>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</si>
  <si>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</si>
  <si>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</si>
  <si>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</si>
  <si>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</si>
  <si>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</si>
  <si>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</si>
  <si>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</si>
  <si>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</si>
  <si>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</si>
  <si>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</si>
  <si>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</si>
  <si>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</si>
  <si>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</si>
  <si>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</si>
  <si>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</si>
  <si>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</si>
  <si>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</si>
  <si>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</si>
  <si>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</si>
  <si>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</si>
  <si>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</si>
  <si>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</si>
  <si>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</si>
  <si>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</si>
  <si>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</si>
  <si>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</si>
  <si>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</si>
  <si>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</si>
  <si>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</si>
  <si>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</si>
  <si>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</si>
  <si>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</si>
  <si>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</si>
  <si>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</si>
  <si>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</si>
  <si>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</si>
  <si>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</si>
  <si>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</si>
  <si>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</si>
  <si>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</si>
  <si>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</si>
  <si>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</si>
  <si>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</si>
  <si>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</si>
  <si>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</si>
  <si>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</si>
  <si>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</si>
  <si>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</si>
  <si>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</si>
  <si>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</si>
  <si>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</si>
  <si>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</si>
  <si>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</si>
  <si>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</si>
  <si>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</si>
  <si>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</si>
  <si>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</si>
  <si>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</si>
  <si>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</si>
  <si>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</si>
  <si>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</si>
  <si>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</si>
  <si>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</si>
  <si>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</si>
  <si>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</si>
  <si>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</si>
  <si>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</si>
  <si>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</si>
  <si>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</si>
  <si>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</si>
  <si>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</si>
  <si>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</si>
  <si>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</si>
  <si>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</si>
  <si>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</si>
  <si>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</si>
  <si>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</si>
  <si>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</si>
  <si>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</si>
  <si>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</si>
  <si>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</si>
  <si>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</si>
  <si>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</si>
  <si>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</si>
  <si>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</si>
  <si>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</si>
  <si>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</si>
  <si>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</si>
  <si>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</si>
  <si>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</si>
  <si>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</si>
  <si>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</si>
  <si>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</si>
  <si>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</si>
  <si>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</si>
  <si>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</si>
  <si>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</si>
  <si>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</si>
  <si>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</si>
  <si>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</si>
  <si>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</si>
  <si>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</si>
  <si>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</si>
  <si>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</si>
  <si>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</si>
  <si>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</si>
  <si>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</si>
  <si>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</si>
  <si>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</si>
  <si>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</si>
  <si>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</si>
  <si>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</si>
  <si>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</si>
  <si>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</si>
  <si>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</si>
  <si>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</si>
  <si>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</si>
  <si>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</si>
  <si>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</si>
  <si>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</si>
  <si>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</si>
  <si>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</si>
  <si>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</si>
  <si>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</si>
  <si>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</si>
  <si>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</si>
  <si>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</si>
  <si>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</si>
  <si>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</si>
  <si>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</si>
  <si>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</si>
  <si>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</si>
  <si>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</si>
  <si>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</si>
  <si>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</si>
  <si>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</si>
  <si>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</si>
  <si>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</si>
  <si>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</si>
  <si>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</si>
  <si>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</si>
  <si>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</si>
  <si>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</si>
  <si>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</si>
  <si>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</si>
  <si>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</si>
  <si>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</si>
  <si>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</si>
  <si>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</si>
  <si>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</si>
  <si>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</si>
  <si>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</si>
  <si>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</si>
  <si>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</si>
  <si>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</si>
  <si>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</si>
  <si>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</si>
  <si>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</si>
  <si>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</si>
  <si>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</si>
  <si>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</si>
  <si>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</si>
  <si>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</si>
  <si>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</si>
  <si>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</si>
  <si>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</si>
  <si>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</si>
  <si>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</si>
  <si>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</si>
  <si>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</si>
  <si>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</si>
  <si>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</si>
  <si>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</si>
  <si>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</si>
  <si>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</si>
  <si>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</si>
  <si>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</si>
  <si>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</si>
  <si>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</si>
  <si>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</si>
  <si>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</si>
  <si>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</si>
  <si>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</si>
  <si>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</si>
  <si>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</si>
  <si>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</si>
  <si>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</si>
  <si>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</si>
  <si>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</si>
  <si>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</si>
  <si>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</si>
  <si>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</si>
  <si>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</si>
  <si>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</si>
  <si>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</si>
  <si>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</si>
  <si>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</si>
  <si>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</si>
  <si>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</si>
  <si>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</si>
  <si>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</si>
  <si>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</si>
  <si>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</si>
  <si>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</si>
  <si>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</si>
  <si>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</si>
  <si>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</si>
  <si>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</si>
  <si>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</si>
  <si>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</si>
  <si>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</si>
  <si>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</si>
  <si>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</si>
  <si>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</si>
  <si>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</si>
  <si>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</si>
  <si>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</si>
  <si>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</si>
  <si>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</si>
  <si>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</si>
  <si>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</si>
  <si>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</si>
  <si>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</si>
  <si>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</si>
  <si>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</si>
  <si>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</si>
  <si>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</si>
  <si>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</si>
  <si>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</si>
  <si>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</si>
  <si>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</si>
  <si>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</si>
  <si>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</si>
  <si>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</si>
  <si>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</si>
  <si>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</si>
  <si>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</si>
  <si>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</si>
  <si>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</si>
  <si>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</si>
  <si>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</si>
  <si>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</si>
  <si>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</si>
  <si>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</si>
  <si>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</si>
  <si>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</si>
  <si>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</si>
  <si>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</si>
  <si>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</si>
  <si>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</si>
  <si>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</si>
  <si>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</si>
  <si>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</si>
  <si>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</si>
  <si>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</si>
  <si>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</si>
  <si>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</si>
  <si>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</si>
  <si>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</si>
  <si>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</si>
  <si>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</si>
  <si>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</si>
  <si>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</si>
  <si>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</si>
  <si>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</si>
  <si>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</si>
  <si>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</si>
  <si>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</si>
  <si>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</si>
  <si>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</si>
  <si>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</si>
  <si>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</si>
  <si>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</si>
  <si>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</si>
  <si>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</si>
  <si>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</si>
  <si>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</si>
  <si>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</si>
  <si>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</si>
  <si>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</si>
  <si>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</si>
  <si>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</si>
  <si>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</si>
  <si>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</si>
  <si>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</si>
  <si>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</si>
  <si>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</si>
  <si>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</si>
  <si>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</si>
  <si>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</si>
  <si>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</si>
  <si>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</si>
  <si>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</si>
  <si>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</si>
  <si>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</si>
  <si>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</si>
  <si>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</si>
  <si>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</si>
  <si>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</si>
  <si>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</si>
  <si>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</si>
  <si>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</si>
  <si>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</si>
  <si>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</si>
  <si>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</si>
  <si>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</si>
  <si>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</si>
  <si>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</si>
  <si>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</si>
  <si>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</si>
  <si>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</si>
  <si>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</si>
  <si>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</si>
  <si>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</si>
  <si>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</si>
  <si>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</si>
  <si>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</si>
  <si>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</si>
  <si>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</si>
  <si>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</si>
  <si>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</si>
  <si>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</si>
  <si>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</si>
  <si>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</si>
  <si>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</si>
  <si>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</si>
  <si>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</si>
  <si>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</si>
  <si>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</si>
  <si>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</si>
  <si>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</si>
  <si>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</si>
  <si>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</si>
  <si>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</si>
  <si>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</si>
  <si>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</si>
  <si>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</si>
  <si>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</si>
  <si>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</si>
  <si>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</si>
  <si>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</si>
  <si>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</si>
  <si>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</si>
  <si>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</si>
  <si>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</si>
  <si>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</si>
  <si>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</si>
  <si>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</si>
  <si>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</si>
  <si>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</si>
  <si>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</si>
  <si>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</si>
  <si>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</si>
  <si>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</si>
  <si>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</si>
  <si>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</si>
  <si>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</si>
  <si>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</si>
  <si>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</si>
  <si>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</si>
  <si>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</si>
  <si>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</si>
  <si>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</si>
  <si>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</si>
  <si>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</si>
  <si>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</si>
  <si>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</si>
  <si>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</si>
  <si>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</si>
  <si>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</si>
  <si>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</si>
  <si>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</si>
  <si>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</si>
  <si>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</si>
  <si>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</si>
  <si>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</si>
  <si>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</si>
  <si>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</si>
  <si>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</si>
  <si>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</si>
  <si>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</si>
  <si>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</si>
  <si>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</si>
  <si>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</si>
  <si>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</si>
  <si>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</si>
  <si>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</si>
  <si>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</si>
  <si>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</si>
  <si>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</si>
  <si>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</si>
  <si>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</si>
  <si>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</si>
  <si>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</si>
  <si>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</si>
  <si>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</si>
  <si>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</si>
  <si>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</si>
  <si>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</si>
  <si>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</si>
  <si>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</si>
  <si>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</si>
  <si>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</si>
  <si>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</si>
  <si>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</si>
  <si>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</si>
  <si>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</si>
  <si>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</si>
  <si>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</si>
  <si>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</si>
  <si>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</si>
  <si>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</si>
  <si>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</si>
  <si>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</si>
  <si>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</si>
  <si>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</si>
  <si>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</si>
  <si>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</si>
  <si>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</si>
  <si>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</si>
  <si>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</si>
  <si>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</si>
  <si>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</si>
  <si>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</si>
  <si>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</si>
  <si>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</si>
  <si>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</si>
  <si>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</si>
  <si>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</si>
  <si>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</si>
  <si>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</si>
  <si>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</si>
  <si>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</si>
  <si>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</si>
  <si>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</si>
  <si>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</si>
  <si>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</si>
  <si>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</si>
  <si>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</si>
  <si>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</si>
  <si>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</si>
  <si>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</si>
  <si>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</si>
  <si>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</si>
  <si>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</si>
  <si>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</si>
  <si>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</si>
  <si>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</si>
  <si>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</si>
  <si>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</si>
  <si>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</si>
  <si>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</si>
  <si>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</si>
  <si>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</si>
  <si>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</si>
  <si>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</si>
  <si>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</si>
  <si>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</si>
  <si>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</si>
  <si>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</si>
  <si>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</si>
  <si>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</si>
  <si>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</si>
  <si>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</si>
  <si>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</si>
  <si>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</si>
  <si>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</si>
  <si>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</si>
  <si>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</si>
  <si>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</si>
  <si>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</si>
  <si>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</si>
  <si>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</si>
  <si>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</si>
  <si>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</si>
  <si>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</si>
  <si>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</si>
  <si>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</si>
  <si>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</si>
  <si>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</si>
  <si>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</si>
  <si>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</si>
  <si>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</si>
  <si>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</si>
  <si>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</si>
  <si>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</si>
  <si>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</si>
  <si>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</si>
  <si>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</si>
  <si>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</si>
  <si>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</si>
  <si>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</si>
  <si>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</si>
  <si>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</si>
  <si>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</si>
  <si>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</si>
  <si>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</si>
  <si>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</si>
  <si>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</si>
  <si>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</si>
  <si>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</si>
  <si>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</si>
  <si>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</si>
  <si>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</si>
  <si>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</si>
  <si>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</si>
  <si>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</si>
  <si>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</si>
  <si>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</si>
  <si>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</si>
  <si>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</si>
  <si>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</si>
  <si>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</si>
  <si>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</si>
  <si>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</si>
  <si>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</si>
  <si>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</si>
  <si>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</si>
  <si>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</si>
  <si>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</si>
  <si>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</si>
  <si>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</si>
  <si>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</si>
  <si>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</si>
  <si>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</si>
  <si>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</si>
  <si>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</si>
  <si>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</si>
  <si>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</si>
  <si>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</si>
  <si>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</si>
  <si>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</si>
  <si>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</si>
  <si>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</si>
  <si>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</si>
  <si>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</si>
  <si>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</si>
  <si>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</si>
  <si>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</si>
  <si>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</si>
  <si>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</si>
  <si>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</si>
  <si>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</si>
  <si>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</si>
  <si>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</si>
  <si>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</si>
  <si>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</si>
  <si>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</si>
  <si>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</si>
  <si>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</si>
  <si>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</si>
  <si>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</si>
  <si>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</si>
  <si>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</si>
  <si>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</si>
  <si>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</si>
  <si>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</si>
  <si>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</si>
  <si>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</si>
  <si>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</si>
  <si>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</si>
  <si>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</si>
  <si>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</si>
  <si>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</si>
  <si>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</si>
  <si>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</si>
  <si>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</si>
  <si>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</si>
  <si>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</si>
  <si>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</si>
  <si>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</si>
  <si>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</si>
  <si>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</si>
  <si>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</si>
  <si>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</si>
  <si>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</si>
  <si>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</si>
  <si>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</si>
  <si>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</si>
  <si>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</si>
  <si>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</si>
  <si>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</si>
  <si>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</si>
  <si>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</si>
  <si>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</si>
  <si>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</si>
  <si>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</si>
  <si>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</si>
  <si>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</si>
  <si>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</si>
  <si>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</si>
  <si>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</si>
  <si>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</si>
  <si>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</si>
  <si>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</si>
  <si>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</si>
  <si>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</si>
  <si>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</si>
  <si>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</si>
  <si>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</si>
  <si>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</si>
  <si>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</si>
  <si>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</si>
  <si>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</si>
  <si>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</si>
  <si>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</si>
  <si>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</si>
  <si>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</si>
  <si>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</si>
  <si>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</si>
  <si>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</si>
  <si>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</si>
  <si>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</si>
  <si>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</si>
  <si>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</si>
  <si>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</si>
  <si>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</si>
  <si>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</si>
  <si>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</si>
  <si>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</si>
  <si>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</si>
  <si>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</si>
  <si>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</si>
  <si>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</si>
  <si>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</si>
  <si>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</si>
  <si>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</si>
  <si>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</si>
  <si>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</si>
  <si>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</si>
  <si>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</si>
  <si>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</si>
  <si>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</si>
  <si>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</si>
  <si>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</si>
  <si>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</si>
  <si>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</si>
  <si>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</si>
  <si>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</si>
  <si>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</si>
  <si>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</si>
  <si>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</si>
  <si>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</si>
  <si>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</si>
  <si>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</si>
  <si>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</si>
  <si>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</si>
  <si>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</si>
  <si>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</si>
  <si>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</si>
  <si>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</si>
  <si>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</si>
  <si>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</si>
  <si>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</si>
  <si>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</si>
  <si>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</si>
  <si>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</si>
  <si>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</si>
  <si>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</si>
  <si>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</si>
  <si>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</si>
  <si>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</si>
  <si>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</si>
  <si>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</si>
  <si>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</si>
  <si>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</si>
  <si>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</si>
  <si>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</si>
  <si>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</si>
  <si>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</si>
  <si>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</si>
  <si>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</si>
  <si>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</si>
  <si>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</si>
  <si>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</si>
  <si>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</si>
  <si>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</si>
  <si>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</si>
  <si>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</si>
  <si>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</si>
  <si>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</si>
  <si>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</si>
  <si>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</si>
  <si>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</si>
  <si>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</si>
  <si>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</si>
  <si>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</si>
  <si>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</si>
  <si>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</si>
  <si>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</si>
  <si>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</si>
  <si>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</si>
  <si>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</si>
  <si>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</si>
  <si>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</si>
  <si>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</si>
  <si>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</si>
  <si>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</si>
  <si>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</si>
  <si>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</si>
  <si>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</si>
  <si>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</si>
  <si>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</si>
  <si>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</si>
  <si>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</si>
  <si>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</si>
  <si>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</si>
  <si>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</si>
  <si>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</si>
  <si>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</si>
  <si>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</si>
  <si>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</si>
  <si>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</si>
  <si>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</si>
  <si>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</si>
  <si>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</si>
  <si>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</si>
  <si>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</si>
  <si>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</si>
  <si>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</si>
  <si>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</si>
  <si>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</si>
  <si>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</si>
  <si>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</si>
  <si>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</si>
  <si>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</si>
  <si>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</si>
  <si>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</si>
  <si>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</si>
  <si>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</si>
  <si>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</si>
  <si>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</si>
  <si>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</si>
  <si>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</si>
  <si>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</si>
  <si>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</si>
  <si>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</si>
  <si>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</si>
  <si>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</si>
  <si>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</si>
  <si>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</si>
  <si>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</si>
  <si>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</si>
  <si>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</si>
  <si>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</si>
  <si>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</si>
  <si>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</si>
  <si>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</si>
  <si>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</si>
  <si>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</si>
  <si>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</si>
  <si>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</si>
  <si>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</si>
  <si>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</si>
  <si>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</si>
  <si>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</si>
  <si>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</si>
  <si>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</si>
  <si>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</si>
  <si>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</si>
  <si>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</si>
  <si>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</si>
  <si>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</si>
  <si>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</si>
  <si>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</si>
  <si>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</si>
  <si>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</si>
  <si>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</si>
  <si>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</si>
  <si>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</si>
  <si>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</si>
  <si>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</si>
  <si>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</si>
  <si>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</si>
  <si>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</si>
  <si>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</si>
  <si>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</si>
  <si>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</si>
  <si>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</si>
  <si>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</si>
  <si>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</si>
  <si>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</si>
  <si>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</si>
  <si>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</si>
  <si>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</si>
  <si>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</si>
  <si>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</si>
  <si>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</si>
  <si>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</si>
  <si>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</si>
  <si>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</si>
  <si>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</si>
  <si>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</si>
  <si>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</si>
  <si>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</si>
  <si>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</si>
  <si>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</si>
  <si>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</si>
  <si>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</si>
  <si>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</si>
  <si>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</si>
  <si>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</si>
  <si>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</si>
  <si>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</si>
  <si>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</si>
  <si>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</si>
  <si>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</si>
  <si>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</si>
  <si>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</si>
  <si>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</si>
  <si>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</si>
  <si>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</si>
  <si>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</si>
  <si>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</si>
  <si>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</si>
  <si>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</si>
  <si>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</si>
  <si>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</si>
  <si>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</si>
  <si>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</si>
  <si>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</si>
  <si>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</si>
  <si>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</si>
  <si>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</si>
  <si>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</si>
  <si>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</si>
  <si>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</si>
  <si>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</si>
  <si>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</si>
  <si>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</si>
  <si>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</si>
  <si>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</si>
  <si>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</si>
  <si>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</si>
  <si>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</si>
  <si>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</si>
  <si>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</si>
  <si>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</si>
  <si>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</si>
  <si>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</si>
  <si>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</si>
  <si>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</si>
  <si>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</si>
  <si>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</si>
  <si>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</si>
  <si>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</si>
  <si>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</si>
  <si>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</si>
  <si>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</si>
  <si>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</si>
  <si>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</si>
  <si>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</si>
  <si>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</si>
  <si>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</si>
  <si>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</si>
  <si>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</si>
  <si>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</si>
  <si>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</si>
  <si>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</si>
  <si>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</si>
  <si>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</si>
  <si>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</si>
  <si>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</si>
  <si>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</si>
  <si>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</si>
  <si>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</si>
  <si>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</si>
  <si>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</si>
  <si>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</si>
  <si>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</si>
  <si>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</si>
  <si>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</si>
  <si>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</si>
  <si>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</si>
  <si>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</si>
  <si>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</si>
  <si>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</si>
  <si>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</si>
  <si>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</si>
  <si>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</si>
  <si>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</si>
  <si>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</si>
  <si>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</si>
  <si>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</si>
  <si>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</si>
  <si>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</si>
  <si>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</si>
  <si>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</si>
  <si>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</si>
  <si>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</si>
  <si>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</si>
  <si>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</si>
  <si>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</si>
  <si>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</si>
  <si>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</si>
  <si>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</si>
  <si>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</si>
  <si>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</si>
  <si>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</si>
  <si>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</si>
  <si>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</si>
  <si>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</si>
  <si>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</si>
  <si>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</si>
  <si>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</si>
  <si>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</si>
  <si>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</si>
  <si>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</si>
  <si>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</si>
  <si>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</si>
  <si>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</si>
  <si>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</si>
  <si>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</si>
  <si>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</si>
  <si>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</si>
  <si>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</si>
  <si>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</si>
  <si>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</si>
  <si>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</si>
  <si>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</si>
  <si>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</si>
  <si>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</si>
  <si>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</si>
  <si>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</si>
  <si>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</si>
  <si>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</si>
  <si>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</si>
  <si>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</si>
  <si>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</si>
  <si>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</si>
  <si>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</si>
  <si>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</si>
  <si>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</si>
  <si>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</si>
  <si>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</si>
  <si>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</si>
  <si>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</si>
  <si>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</si>
  <si>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</si>
  <si>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</si>
  <si>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</si>
  <si>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</si>
  <si>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</si>
  <si>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</si>
  <si>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</si>
  <si>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</si>
  <si>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</si>
  <si>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</si>
  <si>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</si>
  <si>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</si>
  <si>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</si>
  <si>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</si>
  <si>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</si>
  <si>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</si>
  <si>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</si>
  <si>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</si>
  <si>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</si>
  <si>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</si>
  <si>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</si>
  <si>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</si>
  <si>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</si>
  <si>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</si>
  <si>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</si>
  <si>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</si>
  <si>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</si>
  <si>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</si>
  <si>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</si>
  <si>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</si>
  <si>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</si>
  <si>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</si>
  <si>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</si>
  <si>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</si>
  <si>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</si>
  <si>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</si>
  <si>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</si>
  <si>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</si>
  <si>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</si>
  <si>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</si>
  <si>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</si>
  <si>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</si>
  <si>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</si>
  <si>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</si>
  <si>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</si>
  <si>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</si>
  <si>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</si>
  <si>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</si>
  <si>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</si>
  <si>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</si>
  <si>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</si>
  <si>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</si>
  <si>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</si>
  <si>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</si>
  <si>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</si>
  <si>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</si>
  <si>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</si>
  <si>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</si>
  <si>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</si>
  <si>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</si>
  <si>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</si>
  <si>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</si>
  <si>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</si>
  <si>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</si>
  <si>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</si>
  <si>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</si>
  <si>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</si>
  <si>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</si>
  <si>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</si>
  <si>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</si>
  <si>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</si>
  <si>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</si>
  <si>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</si>
  <si>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</si>
  <si>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</si>
  <si>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</si>
  <si>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</si>
  <si>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</si>
  <si>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</si>
  <si>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</si>
  <si>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</si>
  <si>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</si>
  <si>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</si>
  <si>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</si>
  <si>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</si>
  <si>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</si>
  <si>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</si>
  <si>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</si>
  <si>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</si>
  <si>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</si>
  <si>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</si>
  <si>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</si>
  <si>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</si>
  <si>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</si>
  <si>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</si>
  <si>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</si>
  <si>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</si>
  <si>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</si>
  <si>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</si>
  <si>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</si>
  <si>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</si>
  <si>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</si>
  <si>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</si>
  <si>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</si>
  <si>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</si>
  <si>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</si>
  <si>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</si>
  <si>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</si>
  <si>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</si>
  <si>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</si>
  <si>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</si>
  <si>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</si>
  <si>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</si>
  <si>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</si>
  <si>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</si>
  <si>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</si>
  <si>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</si>
  <si>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</si>
  <si>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</si>
  <si>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</si>
  <si>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</si>
  <si>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</si>
  <si>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</si>
  <si>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</si>
  <si>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</si>
  <si>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</si>
  <si>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</si>
  <si>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</si>
  <si>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</si>
  <si>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</si>
  <si>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</si>
  <si>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</si>
  <si>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</si>
  <si>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</si>
  <si>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</si>
  <si>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</si>
  <si>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</si>
  <si>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</si>
  <si>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</si>
  <si>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</si>
  <si>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</si>
  <si>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</si>
  <si>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</si>
  <si>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</si>
  <si>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</si>
  <si>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</si>
  <si>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</si>
  <si>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</si>
  <si>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</si>
  <si>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</si>
  <si>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</si>
  <si>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</si>
  <si>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</si>
  <si>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</si>
  <si>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</si>
  <si>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</si>
  <si>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</si>
  <si>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</si>
  <si>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</si>
  <si>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</si>
  <si>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</si>
  <si>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</si>
  <si>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</si>
  <si>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</si>
  <si>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</si>
  <si>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</si>
  <si>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</si>
  <si>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</si>
  <si>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</si>
  <si>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</si>
  <si>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</si>
  <si>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</si>
  <si>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</si>
  <si>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</si>
  <si>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</si>
  <si>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</si>
  <si>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</si>
  <si>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</si>
  <si>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</si>
  <si>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</si>
  <si>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</si>
  <si>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</si>
  <si>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</si>
  <si>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</si>
  <si>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</si>
  <si>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</si>
  <si>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</si>
  <si>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</si>
  <si>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</si>
  <si>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</si>
  <si>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</si>
  <si>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</si>
  <si>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</si>
  <si>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</si>
  <si>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</si>
  <si>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</si>
  <si>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</si>
  <si>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</si>
  <si>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</si>
  <si>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</si>
  <si>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</si>
  <si>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</si>
  <si>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</si>
  <si>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</si>
  <si>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</si>
  <si>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</si>
  <si>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</si>
  <si>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</si>
  <si>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</si>
  <si>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</si>
  <si>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</si>
  <si>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</si>
  <si>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</si>
  <si>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</si>
  <si>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</si>
  <si>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</si>
  <si>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</si>
  <si>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</si>
  <si>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</si>
  <si>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</si>
  <si>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</si>
  <si>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</si>
  <si>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</si>
  <si>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</si>
  <si>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</si>
  <si>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</si>
  <si>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</si>
  <si>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</si>
  <si>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</si>
  <si>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</si>
  <si>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</si>
  <si>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</si>
  <si>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</si>
  <si>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</si>
  <si>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</si>
  <si>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</si>
  <si>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</si>
  <si>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</si>
  <si>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</si>
  <si>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</si>
  <si>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</si>
  <si>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</si>
  <si>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</si>
  <si>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</si>
  <si>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</si>
  <si>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</si>
  <si>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</si>
  <si>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</si>
  <si>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</si>
  <si>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</si>
  <si>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</si>
  <si>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</si>
  <si>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</si>
  <si>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</si>
  <si>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</si>
  <si>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</si>
  <si>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</si>
  <si>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</si>
  <si>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</si>
  <si>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</si>
  <si>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</si>
  <si>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</si>
  <si>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</si>
  <si>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</si>
  <si>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</si>
  <si>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</si>
  <si>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</si>
  <si>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</si>
  <si>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</si>
  <si>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</si>
  <si>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</si>
  <si>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</si>
  <si>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</si>
  <si>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</si>
  <si>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</si>
  <si>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</si>
  <si>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</si>
  <si>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</si>
  <si>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</si>
  <si>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</si>
  <si>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</si>
  <si>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</si>
  <si>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</si>
  <si>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</si>
  <si>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</si>
  <si>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</si>
  <si>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</si>
  <si>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</si>
  <si>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</si>
  <si>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</si>
  <si>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</si>
  <si>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</si>
  <si>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</si>
  <si>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</si>
  <si>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</si>
  <si>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</si>
  <si>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</si>
  <si>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</si>
  <si>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</si>
  <si>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</si>
  <si>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</si>
  <si>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</si>
  <si>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</si>
  <si>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</si>
  <si>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</si>
  <si>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</si>
  <si>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</si>
  <si>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</si>
  <si>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</si>
  <si>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</si>
  <si>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</si>
  <si>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</si>
  <si>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</si>
  <si>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</si>
  <si>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</si>
  <si>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</si>
  <si>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</si>
  <si>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</si>
  <si>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</si>
  <si>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</si>
  <si>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</si>
  <si>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</si>
  <si>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</si>
  <si>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</si>
  <si>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</si>
  <si>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</si>
  <si>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</si>
  <si>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</si>
  <si>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</si>
  <si>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</si>
  <si>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</si>
  <si>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</si>
  <si>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</si>
  <si>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</si>
  <si>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</si>
  <si>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</si>
  <si>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</si>
  <si>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</si>
  <si>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</si>
  <si>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</si>
  <si>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</si>
  <si>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</si>
  <si>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</si>
  <si>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</si>
  <si>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</si>
  <si>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</si>
  <si>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</si>
  <si>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</si>
  <si>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</si>
  <si>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</si>
  <si>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</si>
  <si>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</si>
  <si>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</si>
  <si>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</si>
  <si>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</si>
  <si>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</si>
  <si>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</si>
  <si>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</si>
  <si>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</si>
  <si>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</si>
  <si>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</si>
  <si>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</si>
  <si>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</si>
  <si>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</si>
  <si>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</si>
  <si>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</si>
  <si>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</si>
  <si>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</si>
  <si>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</si>
  <si>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</si>
  <si>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</si>
  <si>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</si>
  <si>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</si>
  <si>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</si>
  <si>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</si>
  <si>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</si>
  <si>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</si>
  <si>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</si>
  <si>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</si>
  <si>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</si>
  <si>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</si>
  <si>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</si>
  <si>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</si>
  <si>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</si>
  <si>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</si>
  <si>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</si>
  <si>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</si>
  <si>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</si>
  <si>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</si>
  <si>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</si>
  <si>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</si>
  <si>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</si>
  <si>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</si>
  <si>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</si>
  <si>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</si>
  <si>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</si>
  <si>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</si>
  <si>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</si>
  <si>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</si>
  <si>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</si>
  <si>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</si>
  <si>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</si>
  <si>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</si>
  <si>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</si>
  <si>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</si>
  <si>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</si>
  <si>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</si>
  <si>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</si>
  <si>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</si>
  <si>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</si>
  <si>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</si>
  <si>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</si>
  <si>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</si>
  <si>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</si>
  <si>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</si>
  <si>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</si>
  <si>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</si>
  <si>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</si>
  <si>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</si>
  <si>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</si>
  <si>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</si>
  <si>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</si>
  <si>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</si>
  <si>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</si>
  <si>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</si>
  <si>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</si>
  <si>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</si>
  <si>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</si>
  <si>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</si>
  <si>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</si>
  <si>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</si>
  <si>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</si>
  <si>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</si>
  <si>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</si>
  <si>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</si>
  <si>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</si>
  <si>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</si>
  <si>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</si>
  <si>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</si>
  <si>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</si>
  <si>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</si>
  <si>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</si>
  <si>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</si>
  <si>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</si>
  <si>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</si>
  <si>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</si>
  <si>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</si>
  <si>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</si>
  <si>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</si>
  <si>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</si>
  <si>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</si>
  <si>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</si>
  <si>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</si>
  <si>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</si>
  <si>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</si>
  <si>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</si>
  <si>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</si>
  <si>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</si>
  <si>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</si>
  <si>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</si>
  <si>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</si>
  <si>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</si>
  <si>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</si>
  <si>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</si>
  <si>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</si>
  <si>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</si>
  <si>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</si>
  <si>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</si>
  <si>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</si>
  <si>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</si>
  <si>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</si>
  <si>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</si>
  <si>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</si>
  <si>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</si>
  <si>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</si>
  <si>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</si>
  <si>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</si>
  <si>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</si>
  <si>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</si>
  <si>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</si>
  <si>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</si>
  <si>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</si>
  <si>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</si>
  <si>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</si>
  <si>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</si>
  <si>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</si>
  <si>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</si>
  <si>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</si>
  <si>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</si>
  <si>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</si>
  <si>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</si>
  <si>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</si>
  <si>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</si>
  <si>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</si>
  <si>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</si>
  <si>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</si>
  <si>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</si>
  <si>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</si>
  <si>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</si>
  <si>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</si>
  <si>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</si>
  <si>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</si>
  <si>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</si>
  <si>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</si>
  <si>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</si>
  <si>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</si>
  <si>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</si>
  <si>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</si>
  <si>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</si>
  <si>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</si>
  <si>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</si>
  <si>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</si>
  <si>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</si>
  <si>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</si>
  <si>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</si>
  <si>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</si>
  <si>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</si>
  <si>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</si>
  <si>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</si>
  <si>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</si>
  <si>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</si>
  <si>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</si>
  <si>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</si>
  <si>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</si>
  <si>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</si>
  <si>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</si>
  <si>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</si>
  <si>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</si>
  <si>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</si>
  <si>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</si>
  <si>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</si>
  <si>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</si>
  <si>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</si>
  <si>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</si>
  <si>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</si>
  <si>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</si>
  <si>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</si>
  <si>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</si>
  <si>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</si>
  <si>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</si>
  <si>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</si>
  <si>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</si>
  <si>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</si>
  <si>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</si>
  <si>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</si>
  <si>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</si>
  <si>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</si>
  <si>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</si>
  <si>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</si>
  <si>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</si>
  <si>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</si>
  <si>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</si>
  <si>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</si>
  <si>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</si>
  <si>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</si>
  <si>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</si>
  <si>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</si>
  <si>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</si>
  <si>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</si>
  <si>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</si>
  <si>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</si>
  <si>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</si>
  <si>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</si>
  <si>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</si>
  <si>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</si>
  <si>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</si>
  <si>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</si>
  <si>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</si>
  <si>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</si>
  <si>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</si>
  <si>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</si>
  <si>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</si>
  <si>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</si>
  <si>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</si>
  <si>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</si>
  <si>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</si>
  <si>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</si>
  <si>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</si>
  <si>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</si>
  <si>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</si>
  <si>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</si>
  <si>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</si>
  <si>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</si>
  <si>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</si>
  <si>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</si>
  <si>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</si>
  <si>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</si>
  <si>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</si>
  <si>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</si>
  <si>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</si>
  <si>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</si>
  <si>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</si>
  <si>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</si>
  <si>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</si>
  <si>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</si>
  <si>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</si>
  <si>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</si>
  <si>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</si>
  <si>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</si>
  <si>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</si>
  <si>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</si>
  <si>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</si>
  <si>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</si>
  <si>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</si>
  <si>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</si>
  <si>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</si>
  <si>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</si>
  <si>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</si>
  <si>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</si>
  <si>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</si>
  <si>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</si>
  <si>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</si>
  <si>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</si>
  <si>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</si>
  <si>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</si>
  <si>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</si>
  <si>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</si>
  <si>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</si>
  <si>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</si>
  <si>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</si>
  <si>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</si>
  <si>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</si>
  <si>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</si>
  <si>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</si>
  <si>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</si>
  <si>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</si>
  <si>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</si>
  <si>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</si>
  <si>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</si>
  <si>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</si>
  <si>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</si>
  <si>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</si>
  <si>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</si>
  <si>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</si>
  <si>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</si>
  <si>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</si>
  <si>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</si>
  <si>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</si>
  <si>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</si>
  <si>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</si>
  <si>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</si>
  <si>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</si>
  <si>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</si>
  <si>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</si>
  <si>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</si>
  <si>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</si>
  <si>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</si>
  <si>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</si>
  <si>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</si>
  <si>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</si>
  <si>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</si>
  <si>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</si>
  <si>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</si>
  <si>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</si>
  <si>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</si>
  <si>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</si>
  <si>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</si>
  <si>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</si>
  <si>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</si>
  <si>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</si>
  <si>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</si>
  <si>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</si>
  <si>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</si>
  <si>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</si>
  <si>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</si>
  <si>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</si>
  <si>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</si>
  <si>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</si>
  <si>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</si>
  <si>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</si>
  <si>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</si>
  <si>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</si>
  <si>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</si>
  <si>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</si>
  <si>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</si>
  <si>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</si>
  <si>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</si>
  <si>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</si>
  <si>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</si>
  <si>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</si>
  <si>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</si>
  <si>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</si>
  <si>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</si>
  <si>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</si>
  <si>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</si>
  <si>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</si>
  <si>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</si>
  <si>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</si>
  <si>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</si>
  <si>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</si>
  <si>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</si>
  <si>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</si>
  <si>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</si>
  <si>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</si>
  <si>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</si>
  <si>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</si>
  <si>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</si>
  <si>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</si>
  <si>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</si>
  <si>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</si>
  <si>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</si>
  <si>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</si>
  <si>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</si>
  <si>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</si>
  <si>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</si>
  <si>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</si>
  <si>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</si>
  <si>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</si>
  <si>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</si>
  <si>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</si>
  <si>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</si>
  <si>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</si>
  <si>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</si>
  <si>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</si>
  <si>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</si>
  <si>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</si>
  <si>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</si>
  <si>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</si>
  <si>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</si>
  <si>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</si>
  <si>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</si>
  <si>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</si>
  <si>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</si>
  <si>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</si>
  <si>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</si>
  <si>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</si>
  <si>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</si>
  <si>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</si>
  <si>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</si>
  <si>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</si>
  <si>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</si>
  <si>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</si>
  <si>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</si>
  <si>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</si>
  <si>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</si>
  <si>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</si>
  <si>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</si>
  <si>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</si>
  <si>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</si>
  <si>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</si>
  <si>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</si>
  <si>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</si>
  <si>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</si>
  <si>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</si>
  <si>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</si>
  <si>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</si>
  <si>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</si>
  <si>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</si>
  <si>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</si>
  <si>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</si>
  <si>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</si>
  <si>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</si>
  <si>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</si>
  <si>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</si>
  <si>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</si>
  <si>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</si>
  <si>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</si>
  <si>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</si>
  <si>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</si>
  <si>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</si>
  <si>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</si>
  <si>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</si>
  <si>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</si>
  <si>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</si>
  <si>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</si>
  <si>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</si>
  <si>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</si>
  <si>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</si>
  <si>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</si>
  <si>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</si>
  <si>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</si>
  <si>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</si>
  <si>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</si>
  <si>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</si>
  <si>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</si>
  <si>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</si>
  <si>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</si>
  <si>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</si>
  <si>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</si>
  <si>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</si>
  <si>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</si>
  <si>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</si>
  <si>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</si>
  <si>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</si>
  <si>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</si>
  <si>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</si>
  <si>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</si>
  <si>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</si>
  <si>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</si>
  <si>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</si>
  <si>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</si>
  <si>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</si>
  <si>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</si>
  <si>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</si>
  <si>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</si>
  <si>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</si>
  <si>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</si>
  <si>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</si>
  <si>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</si>
  <si>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</si>
  <si>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</si>
  <si>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</si>
  <si>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</si>
  <si>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</si>
  <si>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</si>
  <si>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</si>
  <si>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</si>
  <si>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</si>
  <si>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</si>
  <si>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</si>
  <si>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</si>
  <si>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</si>
  <si>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</si>
  <si>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</si>
  <si>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</si>
  <si>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</si>
  <si>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</si>
  <si>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</si>
  <si>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</si>
  <si>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</si>
  <si>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</si>
  <si>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</si>
  <si>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</si>
  <si>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</si>
  <si>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</si>
  <si>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</si>
  <si>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</si>
  <si>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</si>
  <si>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</si>
  <si>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</si>
  <si>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</si>
  <si>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</si>
  <si>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</si>
  <si>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</si>
  <si>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</si>
  <si>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</si>
  <si>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</si>
  <si>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</si>
  <si>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</si>
  <si>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</si>
  <si>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</si>
  <si>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</si>
  <si>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</si>
  <si>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</si>
  <si>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</si>
  <si>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</si>
  <si>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</si>
  <si>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</si>
  <si>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</si>
  <si>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</si>
  <si>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</si>
  <si>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</si>
  <si>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</si>
  <si>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</si>
  <si>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</si>
  <si>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</si>
  <si>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</si>
  <si>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</si>
  <si>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</si>
  <si>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</si>
  <si>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</si>
  <si>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</si>
  <si>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</si>
  <si>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</si>
  <si>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</si>
  <si>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</si>
  <si>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</si>
  <si>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</si>
  <si>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</si>
  <si>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</si>
  <si>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</si>
  <si>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</si>
  <si>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</si>
  <si>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</si>
  <si>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</si>
  <si>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</si>
  <si>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</si>
  <si>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</si>
  <si>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</si>
  <si>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</si>
  <si>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</si>
  <si>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</si>
  <si>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</si>
  <si>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</si>
  <si>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</si>
  <si>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</si>
  <si>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</si>
  <si>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</si>
  <si>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</si>
  <si>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</si>
  <si>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</si>
  <si>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</si>
  <si>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</si>
  <si>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</si>
  <si>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</si>
  <si>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</si>
  <si>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</si>
  <si>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</si>
  <si>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</si>
  <si>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</si>
  <si>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</si>
  <si>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</si>
  <si>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</si>
  <si>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</si>
  <si>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</si>
  <si>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</si>
  <si>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</si>
  <si>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</si>
  <si>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</si>
  <si>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</si>
  <si>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</si>
  <si>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</si>
  <si>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</si>
  <si>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</si>
  <si>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</si>
  <si>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</si>
  <si>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</si>
  <si>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</si>
  <si>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</si>
  <si>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</si>
  <si>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</si>
  <si>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</si>
  <si>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</si>
  <si>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</si>
  <si>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</si>
  <si>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</si>
  <si>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</si>
  <si>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</si>
  <si>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</si>
  <si>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</si>
  <si>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</si>
  <si>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</si>
  <si>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</si>
  <si>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</si>
  <si>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</si>
  <si>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</si>
  <si>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</si>
  <si>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</si>
  <si>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</si>
  <si>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</si>
  <si>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</si>
  <si>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</si>
  <si>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</si>
  <si>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</si>
  <si>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</si>
  <si>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</si>
  <si>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</si>
  <si>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</si>
  <si>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</si>
  <si>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</si>
  <si>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</si>
  <si>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</si>
  <si>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</si>
  <si>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</si>
  <si>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</si>
  <si>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</si>
  <si>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</si>
  <si>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</si>
  <si>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</si>
  <si>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</si>
  <si>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</si>
  <si>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</si>
  <si>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</si>
  <si>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</si>
  <si>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</si>
  <si>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</si>
  <si>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</si>
  <si>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</si>
  <si>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</si>
  <si>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</si>
  <si>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</si>
  <si>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</si>
  <si>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</si>
  <si>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</si>
  <si>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</si>
  <si>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</si>
  <si>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</si>
  <si>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</si>
  <si>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</si>
  <si>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</si>
  <si>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</si>
  <si>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</si>
  <si>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</si>
  <si>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</si>
  <si>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</si>
  <si>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</si>
  <si>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</si>
  <si>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</si>
  <si>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</si>
  <si>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</si>
  <si>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</si>
  <si>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</si>
  <si>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</si>
  <si>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</si>
  <si>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</si>
  <si>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</si>
  <si>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</si>
  <si>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</si>
  <si>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</si>
  <si>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</si>
  <si>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</si>
  <si>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</si>
  <si>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</si>
  <si>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</si>
  <si>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</si>
  <si>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</si>
  <si>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</si>
  <si>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</si>
  <si>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</si>
  <si>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</si>
  <si>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</si>
  <si>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</si>
  <si>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</si>
  <si>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</si>
  <si>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</si>
  <si>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</si>
  <si>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</si>
  <si>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</si>
  <si>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</si>
  <si>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</si>
  <si>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</si>
  <si>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</si>
  <si>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</si>
  <si>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</si>
  <si>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</si>
  <si>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</si>
  <si>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</si>
  <si>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</si>
  <si>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</si>
  <si>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</si>
  <si>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</si>
  <si>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</si>
  <si>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</si>
  <si>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</si>
  <si>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</si>
  <si>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</si>
  <si>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</si>
  <si>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</si>
  <si>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</si>
  <si>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</si>
  <si>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</si>
  <si>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</si>
  <si>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</si>
  <si>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</si>
  <si>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</si>
  <si>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</si>
  <si>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</si>
  <si>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</si>
  <si>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</si>
  <si>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</si>
  <si>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</si>
  <si>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</si>
  <si>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</si>
  <si>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</si>
  <si>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</si>
  <si>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</si>
  <si>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</si>
  <si>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</si>
  <si>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</si>
  <si>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</si>
  <si>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</si>
  <si>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</si>
  <si>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</si>
  <si>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</si>
  <si>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</si>
  <si>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</si>
  <si>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</si>
  <si>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</si>
  <si>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</si>
  <si>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</si>
  <si>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</si>
  <si>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</si>
  <si>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</si>
  <si>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</si>
  <si>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</si>
  <si>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</si>
  <si>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</si>
  <si>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</si>
  <si>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</si>
  <si>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</si>
  <si>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</si>
  <si>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</si>
  <si>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</si>
  <si>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</si>
  <si>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</si>
  <si>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</si>
  <si>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</si>
  <si>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</si>
  <si>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</si>
  <si>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</si>
  <si>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</si>
  <si>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</si>
  <si>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</si>
  <si>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</si>
  <si>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</si>
  <si>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</si>
  <si>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</si>
  <si>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</si>
  <si>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</si>
  <si>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</si>
  <si>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</si>
  <si>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</si>
  <si>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</si>
  <si>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</si>
  <si>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</si>
  <si>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</si>
  <si>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</si>
  <si>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</si>
  <si>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</si>
  <si>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</si>
  <si>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</si>
  <si>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</si>
  <si>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</si>
  <si>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</si>
  <si>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</si>
  <si>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</si>
  <si>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</si>
  <si>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</si>
  <si>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</si>
  <si>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</si>
  <si>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</si>
  <si>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</si>
  <si>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</si>
  <si>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</si>
  <si>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</si>
  <si>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</si>
  <si>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</si>
  <si>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</si>
  <si>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</si>
  <si>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</si>
  <si>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</si>
  <si>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</si>
  <si>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</si>
  <si>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</si>
  <si>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</si>
  <si>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</si>
  <si>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</si>
  <si>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</si>
  <si>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</si>
  <si>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</si>
  <si>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</si>
  <si>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</si>
  <si>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</si>
  <si>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</si>
  <si>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</si>
  <si>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</si>
  <si>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</si>
  <si>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</si>
  <si>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</si>
  <si>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</si>
  <si>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</si>
  <si>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</si>
  <si>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</si>
  <si>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</si>
  <si>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</si>
  <si>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</si>
  <si>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</si>
  <si>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</si>
  <si>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</si>
  <si>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</si>
  <si>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</si>
  <si>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</si>
  <si>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</si>
  <si>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</si>
  <si>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</si>
  <si>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</si>
  <si>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</si>
  <si>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</si>
  <si>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</si>
  <si>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</si>
  <si>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</si>
  <si>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</si>
  <si>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</si>
  <si>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</si>
  <si>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</si>
  <si>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</si>
  <si>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</si>
  <si>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</si>
  <si>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</si>
  <si>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</si>
  <si>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</si>
  <si>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</si>
  <si>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</si>
  <si>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</si>
  <si>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</si>
  <si>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</si>
  <si>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</si>
  <si>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</si>
  <si>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</si>
  <si>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</si>
  <si>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</si>
  <si>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</si>
  <si>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</si>
  <si>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</si>
  <si>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</si>
  <si>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</si>
  <si>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</si>
  <si>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</si>
  <si>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</si>
  <si>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</si>
  <si>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</si>
  <si>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</si>
  <si>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</si>
  <si>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</si>
  <si>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</si>
  <si>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</si>
  <si>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</si>
  <si>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</si>
  <si>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</si>
  <si>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</si>
  <si>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</si>
  <si>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</si>
  <si>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</si>
  <si>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</si>
  <si>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</si>
  <si>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</si>
  <si>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</si>
  <si>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</si>
  <si>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</si>
  <si>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</si>
  <si>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</si>
  <si>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</si>
  <si>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</si>
  <si>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</si>
  <si>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</si>
  <si>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</si>
  <si>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</si>
  <si>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</si>
  <si>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</si>
  <si>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</si>
  <si>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</si>
  <si>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</si>
  <si>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</si>
  <si>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</si>
  <si>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</si>
  <si>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</si>
  <si>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</si>
  <si>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</si>
  <si>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</si>
  <si>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</si>
  <si>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</si>
  <si>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</si>
  <si>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</si>
  <si>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</si>
  <si>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</si>
  <si>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</si>
  <si>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</si>
  <si>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</si>
  <si>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</si>
  <si>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</si>
  <si>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</si>
  <si>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</si>
  <si>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</si>
  <si>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</si>
  <si>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</si>
  <si>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</si>
  <si>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</si>
  <si>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</si>
  <si>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</si>
  <si>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</si>
  <si>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</si>
  <si>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</si>
  <si>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</si>
  <si>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</si>
  <si>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</si>
  <si>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</si>
  <si>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</si>
  <si>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</si>
  <si>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</si>
  <si>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</si>
  <si>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</si>
  <si>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</si>
  <si>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</si>
  <si>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</si>
  <si>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</si>
  <si>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</si>
  <si>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</si>
  <si>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</si>
  <si>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</si>
  <si>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</si>
  <si>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</si>
  <si>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</si>
  <si>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</si>
  <si>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</si>
  <si>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</si>
  <si>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</si>
  <si>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</si>
  <si>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</si>
  <si>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</si>
  <si>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</si>
  <si>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</si>
  <si>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</si>
  <si>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</si>
  <si>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</si>
  <si>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</si>
  <si>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</si>
  <si>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</si>
  <si>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</si>
  <si>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</si>
  <si>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</si>
  <si>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</si>
  <si>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</si>
  <si>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</si>
  <si>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</si>
  <si>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</si>
  <si>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</si>
  <si>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</si>
  <si>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</si>
  <si>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</si>
  <si>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</si>
  <si>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</si>
  <si>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</si>
  <si>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</si>
  <si>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</si>
  <si>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</si>
  <si>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</si>
  <si>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</si>
  <si>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</si>
  <si>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</si>
  <si>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</si>
  <si>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</si>
  <si>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</si>
  <si>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</si>
  <si>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</si>
  <si>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</si>
  <si>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</si>
  <si>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</si>
  <si>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</si>
  <si>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</si>
  <si>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</si>
  <si>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</si>
  <si>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</si>
  <si>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</si>
  <si>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</si>
  <si>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</si>
  <si>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</si>
  <si>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</si>
  <si>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</si>
  <si>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</si>
  <si>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</si>
  <si>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</si>
  <si>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</si>
  <si>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</si>
  <si>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</si>
  <si>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</si>
  <si>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</si>
  <si>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</si>
  <si>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</si>
  <si>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</si>
  <si>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</si>
  <si>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</si>
  <si>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</si>
  <si>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</si>
  <si>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</si>
  <si>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</si>
  <si>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</si>
  <si>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</si>
  <si>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</si>
  <si>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</si>
  <si>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</si>
  <si>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</si>
  <si>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</si>
  <si>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</si>
  <si>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</si>
  <si>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</si>
  <si>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</si>
  <si>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</si>
  <si>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</si>
  <si>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</si>
  <si>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</si>
  <si>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</si>
  <si>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</si>
  <si>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</si>
  <si>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</si>
  <si>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</si>
  <si>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</si>
  <si>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</si>
  <si>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</si>
  <si>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</si>
  <si>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</si>
  <si>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</si>
  <si>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</si>
  <si>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</si>
  <si>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</si>
  <si>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</si>
  <si>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</si>
  <si>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</si>
  <si>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</si>
  <si>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</si>
  <si>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</si>
  <si>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</si>
  <si>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</si>
  <si>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</si>
  <si>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</si>
  <si>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</si>
  <si>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</si>
  <si>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</si>
  <si>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</si>
  <si>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</si>
  <si>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</si>
  <si>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</si>
  <si>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</si>
  <si>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</si>
  <si>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</si>
  <si>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</si>
  <si>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</si>
  <si>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</si>
  <si>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</si>
  <si>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</si>
  <si>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</si>
  <si>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</si>
  <si>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</si>
  <si>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</si>
  <si>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</si>
  <si>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</si>
  <si>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</si>
  <si>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</si>
  <si>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</si>
  <si>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</si>
  <si>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</si>
  <si>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</si>
  <si>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</si>
  <si>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</si>
  <si>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</si>
  <si>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</si>
  <si>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</si>
  <si>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</si>
  <si>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</si>
  <si>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</si>
  <si>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</si>
  <si>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</si>
  <si>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</si>
  <si>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</si>
  <si>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</si>
  <si>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</si>
  <si>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</si>
  <si>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</si>
  <si>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</si>
  <si>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</si>
  <si>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</si>
  <si>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</si>
  <si>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</si>
  <si>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</si>
  <si>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</si>
  <si>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</si>
  <si>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</si>
  <si>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</si>
  <si>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</si>
  <si>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</si>
  <si>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</si>
  <si>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</si>
  <si>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</si>
  <si>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</si>
  <si>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</si>
  <si>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</si>
  <si>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</si>
  <si>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</si>
  <si>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</si>
  <si>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</si>
  <si>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</si>
  <si>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</si>
  <si>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</si>
  <si>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</si>
  <si>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</si>
  <si>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</si>
  <si>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</si>
  <si>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</si>
  <si>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</si>
  <si>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</si>
  <si>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</si>
  <si>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</si>
  <si>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</si>
  <si>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</si>
  <si>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</si>
  <si>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</si>
  <si>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</si>
  <si>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</si>
  <si>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</si>
  <si>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</si>
  <si>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</si>
  <si>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</si>
  <si>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</si>
  <si>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</si>
  <si>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</si>
  <si>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</si>
  <si>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</si>
  <si>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</si>
  <si>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</si>
  <si>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</si>
  <si>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</si>
  <si>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</si>
  <si>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</si>
  <si>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</si>
  <si>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</si>
  <si>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</si>
  <si>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</si>
  <si>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</si>
  <si>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</si>
  <si>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</si>
  <si>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</si>
  <si>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</si>
  <si>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</si>
  <si>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</si>
  <si>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</si>
  <si>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</si>
  <si>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</si>
  <si>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</si>
  <si>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</si>
  <si>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</si>
  <si>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</si>
  <si>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</si>
  <si>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</si>
  <si>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</si>
  <si>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</si>
  <si>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</si>
  <si>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</si>
  <si>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</si>
  <si>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</si>
  <si>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</si>
  <si>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</si>
  <si>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</si>
  <si>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</si>
  <si>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</si>
  <si>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</si>
  <si>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</si>
  <si>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</si>
  <si>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</si>
  <si>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</si>
  <si>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</si>
  <si>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</si>
  <si>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</si>
  <si>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</si>
  <si>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</si>
  <si>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</si>
  <si>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</si>
  <si>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</si>
  <si>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</si>
  <si>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</si>
  <si>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</si>
  <si>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</si>
  <si>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</si>
  <si>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</si>
  <si>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</si>
  <si>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</si>
  <si>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</si>
  <si>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</si>
  <si>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</si>
  <si>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</si>
  <si>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</si>
  <si>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</si>
  <si>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</si>
  <si>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</si>
  <si>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</si>
  <si>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</si>
  <si>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</si>
  <si>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</si>
  <si>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</si>
  <si>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</si>
  <si>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</si>
  <si>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</si>
  <si>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</si>
  <si>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</si>
  <si>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</si>
  <si>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</si>
  <si>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</si>
  <si>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</si>
  <si>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</si>
  <si>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</si>
  <si>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</si>
  <si>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</si>
  <si>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</si>
  <si>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</si>
  <si>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</si>
  <si>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</si>
  <si>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</si>
  <si>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</si>
  <si>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</si>
  <si>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</si>
  <si>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</si>
  <si>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</si>
  <si>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</si>
  <si>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</si>
  <si>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</si>
  <si>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</si>
  <si>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</si>
  <si>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</si>
  <si>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</si>
  <si>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</si>
  <si>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</si>
  <si>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</si>
  <si>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</si>
  <si>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</si>
  <si>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</si>
  <si>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</si>
  <si>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</si>
  <si>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</si>
  <si>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</si>
  <si>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</si>
  <si>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</si>
  <si>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</si>
  <si>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</si>
  <si>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</si>
  <si>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</si>
  <si>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</si>
  <si>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</si>
  <si>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</si>
  <si>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</si>
  <si>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</si>
  <si>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</si>
  <si>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</si>
  <si>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</si>
  <si>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</si>
  <si>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</si>
  <si>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</si>
  <si>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</si>
  <si>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</si>
  <si>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</si>
  <si>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</si>
  <si>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</si>
  <si>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</si>
  <si>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</si>
  <si>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</si>
  <si>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</si>
  <si>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</si>
  <si>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</si>
  <si>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</si>
  <si>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</si>
  <si>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</si>
  <si>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</si>
  <si>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</si>
  <si>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</si>
  <si>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</si>
  <si>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</si>
  <si>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</si>
  <si>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</si>
  <si>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</si>
  <si>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</si>
  <si>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</si>
  <si>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</si>
  <si>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</si>
  <si>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</si>
  <si>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</si>
  <si>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</si>
  <si>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</si>
  <si>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</si>
  <si>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</si>
  <si>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</si>
  <si>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</si>
  <si>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</si>
  <si>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</si>
  <si>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</si>
  <si>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</si>
  <si>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</si>
  <si>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</si>
  <si>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</si>
  <si>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</si>
  <si>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</si>
  <si>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</si>
  <si>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</si>
  <si>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</si>
  <si>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</si>
  <si>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</si>
  <si>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</si>
  <si>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family val="3"/>
        <charset val="128"/>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</si>
  <si>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</si>
  <si>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</si>
  <si>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</si>
  <si>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</si>
  <si>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</si>
  <si>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</si>
  <si>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</si>
  <si>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</si>
  <si>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</si>
  <si>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</si>
  <si>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</si>
  <si>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</si>
  <si>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</si>
  <si>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</si>
  <si>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</si>
  <si>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</si>
  <si>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</si>
  <si>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</si>
  <si>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</si>
  <si>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</si>
  <si>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</si>
  <si>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</si>
  <si>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</si>
  <si>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</si>
  <si>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</si>
  <si>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</si>
  <si>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</si>
  <si>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</si>
  <si>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</si>
  <si>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</si>
  <si>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</si>
  <si>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</si>
  <si>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</si>
  <si>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</si>
  <si>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charset val="134"/>
      </rPr>
      <t>在“申报”选项卡 D77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</si>
  <si>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</si>
  <si>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</si>
  <si>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</si>
  <si>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</si>
  <si>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</si>
  <si>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</si>
  <si>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</si>
  <si>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</si>
  <si>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</si>
  <si>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</si>
  <si>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</si>
  <si>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</si>
  <si>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</si>
  <si>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</si>
  <si>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</si>
  <si>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</si>
  <si>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</si>
  <si>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</si>
  <si>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</si>
  <si>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</si>
  <si>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</si>
  <si>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</si>
  <si>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</si>
  <si>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</si>
  <si>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</si>
  <si>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</si>
  <si>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</si>
  <si>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</si>
  <si>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</si>
  <si>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</si>
  <si>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</si>
  <si>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</si>
  <si>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</si>
  <si>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</si>
  <si>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</si>
  <si>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</si>
  <si>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</si>
  <si>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</si>
  <si>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</si>
  <si>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</si>
  <si>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</si>
  <si>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</si>
  <si>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</si>
  <si>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</si>
  <si>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</si>
  <si>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</si>
  <si>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</si>
  <si>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</si>
  <si>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</si>
  <si>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</si>
  <si>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</si>
  <si>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</si>
  <si>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</si>
  <si>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</si>
  <si>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</si>
  <si>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</si>
  <si>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</si>
  <si>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</si>
  <si>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</si>
  <si>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</si>
  <si>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</si>
  <si>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</si>
  <si>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</si>
  <si>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</si>
  <si>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</si>
  <si>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</si>
  <si>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</si>
  <si>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</si>
  <si>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</si>
  <si>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</si>
  <si>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</si>
  <si>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</si>
  <si>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</si>
  <si>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</si>
  <si>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</si>
  <si>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</si>
  <si>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</si>
  <si>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</si>
  <si>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</si>
  <si>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</si>
  <si>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</si>
  <si>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</si>
  <si>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</si>
  <si>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</si>
  <si>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</si>
  <si>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</si>
  <si>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</si>
  <si>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</si>
  <si>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</si>
  <si>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</si>
  <si>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</si>
  <si>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</si>
  <si>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</si>
  <si>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</si>
  <si>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</si>
  <si>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</si>
  <si>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</si>
  <si>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</si>
  <si>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</si>
  <si>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</si>
  <si>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</si>
  <si>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</si>
  <si>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</si>
  <si>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</si>
  <si>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</si>
  <si>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</si>
  <si>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</si>
  <si>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</si>
  <si>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</si>
  <si>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</si>
  <si>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</si>
  <si>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</si>
  <si>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</si>
  <si>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</si>
  <si>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</si>
  <si>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</si>
  <si>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</si>
  <si>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</si>
  <si>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</si>
  <si>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</si>
  <si>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</si>
  <si>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</si>
  <si>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</si>
  <si>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</si>
  <si>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</si>
  <si>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</si>
  <si>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</si>
  <si>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</si>
  <si>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</si>
  <si>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</si>
  <si>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</si>
  <si>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</si>
  <si>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</si>
  <si>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</si>
  <si>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</si>
  <si>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</si>
  <si>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</si>
  <si>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</si>
  <si>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</si>
  <si>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</si>
  <si>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</si>
  <si>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</si>
  <si>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</si>
  <si>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</si>
  <si>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</si>
  <si>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</si>
  <si>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</si>
  <si>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</si>
  <si>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</si>
  <si>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</si>
  <si>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</si>
  <si>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</si>
  <si>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</si>
  <si>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</si>
  <si>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</si>
  <si>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</si>
  <si>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</si>
  <si>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</si>
  <si>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</si>
  <si>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</si>
  <si>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</si>
  <si>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</si>
  <si>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</si>
  <si>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</si>
  <si>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</si>
  <si>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</si>
  <si>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</si>
  <si>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</si>
  <si>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</si>
  <si>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</si>
  <si>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</si>
  <si>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</si>
  <si>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</si>
  <si>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</si>
  <si>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</si>
  <si>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</si>
  <si>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</si>
  <si>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</si>
  <si>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</si>
  <si>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</si>
  <si>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</si>
  <si>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</si>
  <si>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</si>
  <si>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</si>
  <si>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</si>
  <si>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</si>
  <si>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</si>
  <si>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</si>
  <si>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</si>
  <si>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</si>
  <si>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</si>
  <si>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</si>
  <si>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</si>
  <si>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</si>
  <si>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</si>
  <si>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</si>
  <si>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</si>
  <si>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</si>
  <si>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</si>
  <si>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</si>
  <si>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</si>
  <si>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</si>
  <si>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</si>
  <si>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</si>
  <si>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</si>
  <si>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</si>
  <si>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</si>
  <si>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</si>
  <si>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</si>
  <si>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</si>
  <si>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</si>
  <si>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</si>
  <si>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</si>
  <si>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</si>
  <si>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</si>
  <si>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</si>
  <si>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</si>
  <si>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</si>
  <si>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</si>
  <si>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</si>
  <si>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</si>
  <si>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</si>
  <si>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</si>
  <si>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</si>
  <si>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</si>
  <si>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</si>
  <si>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</si>
  <si>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</si>
  <si>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</si>
  <si>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</si>
  <si>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</si>
  <si>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</si>
  <si>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</si>
  <si>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</si>
  <si>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</si>
  <si>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</si>
  <si>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</si>
  <si>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</si>
  <si>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</si>
  <si>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</si>
  <si>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</si>
  <si>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</si>
  <si>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</si>
  <si>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</si>
  <si>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</si>
  <si>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</si>
  <si>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</si>
  <si>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</si>
  <si>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</si>
  <si>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</si>
  <si>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</si>
  <si>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</si>
  <si>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</si>
  <si>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</si>
  <si>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</si>
  <si>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</si>
  <si>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</si>
  <si>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</si>
  <si>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</si>
  <si>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</si>
  <si>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</si>
  <si>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</si>
  <si>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</si>
  <si>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</si>
  <si>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</si>
  <si>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</si>
  <si>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</si>
  <si>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</si>
  <si>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</si>
  <si>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</si>
  <si>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</si>
  <si>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</si>
  <si>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</si>
  <si>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</si>
  <si>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</si>
  <si>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</si>
  <si>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</si>
  <si>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</si>
  <si>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</si>
  <si>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</si>
  <si>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</si>
  <si>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</si>
  <si>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</si>
  <si>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</si>
  <si>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</si>
  <si>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</si>
  <si>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</si>
  <si>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</si>
  <si>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</si>
  <si>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</si>
  <si>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</si>
  <si>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</si>
  <si>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</si>
  <si>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</si>
  <si>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</si>
  <si>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</si>
  <si>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</si>
  <si>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</si>
  <si>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</si>
  <si>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</si>
  <si>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</si>
  <si>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</si>
  <si>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</si>
  <si>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</si>
  <si>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</si>
  <si>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</si>
  <si>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</si>
  <si>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</si>
  <si>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</si>
  <si>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</si>
  <si>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</si>
  <si>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</si>
  <si>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</si>
  <si>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</si>
  <si>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</si>
  <si>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</si>
  <si>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</si>
  <si>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</si>
  <si>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</si>
  <si>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</si>
  <si>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</si>
  <si>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</si>
  <si>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</si>
  <si>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</si>
  <si>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</si>
  <si>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</si>
  <si>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</si>
  <si>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</si>
  <si>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</si>
  <si>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</si>
  <si>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</si>
  <si>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</si>
  <si>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</si>
  <si>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</si>
  <si>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</si>
  <si>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</si>
  <si>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</si>
  <si>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</si>
  <si>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</si>
  <si>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</si>
  <si>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</si>
  <si>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</si>
  <si>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</si>
  <si>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</si>
  <si>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</si>
  <si>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</si>
  <si>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</si>
  <si>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</si>
  <si>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</si>
  <si>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</si>
  <si>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</si>
  <si>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</si>
  <si>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</si>
  <si>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</si>
  <si>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</si>
  <si>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</si>
  <si>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</si>
  <si>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</si>
  <si>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</si>
  <si>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</si>
  <si>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</si>
  <si>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</si>
  <si>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</si>
  <si>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</si>
  <si>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</si>
  <si>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</si>
  <si>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</si>
  <si>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</si>
  <si>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</si>
  <si>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</si>
  <si>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</si>
  <si>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</si>
  <si>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</si>
  <si>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</si>
  <si>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</si>
  <si>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</si>
  <si>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</si>
  <si>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</si>
  <si>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</si>
  <si>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</si>
  <si>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</si>
  <si>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</si>
  <si>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</si>
  <si>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</si>
  <si>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</si>
  <si>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</si>
  <si>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</si>
  <si>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</si>
  <si>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</si>
  <si>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</si>
  <si>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</si>
  <si>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</si>
  <si>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</si>
  <si>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</si>
  <si>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</si>
  <si>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</si>
  <si>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</si>
  <si>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</si>
  <si>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</si>
  <si>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</si>
  <si>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</si>
  <si>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</si>
  <si>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</si>
  <si>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</si>
  <si>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</si>
  <si>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</si>
  <si>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</si>
  <si>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</si>
  <si>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</si>
  <si>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</si>
  <si>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</si>
  <si>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</si>
  <si>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</si>
  <si>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</si>
  <si>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</si>
  <si>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</si>
  <si>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</si>
  <si>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</si>
  <si>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</si>
  <si>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</si>
  <si>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</si>
  <si>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</si>
  <si>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</si>
  <si>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</si>
  <si>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</si>
  <si>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</si>
  <si>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</si>
  <si>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</si>
  <si>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</si>
  <si>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</si>
  <si>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</si>
  <si>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</si>
  <si>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</si>
  <si>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</si>
  <si>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</si>
  <si>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</si>
  <si>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</si>
  <si>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</si>
  <si>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</si>
  <si>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</si>
  <si>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</si>
  <si>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</si>
  <si>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</si>
  <si>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</si>
  <si>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</si>
  <si>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</si>
  <si>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</si>
  <si>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</si>
  <si>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</si>
  <si>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</si>
  <si>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</si>
  <si>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</si>
  <si>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</si>
  <si>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</si>
  <si>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</si>
  <si>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</si>
  <si>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</si>
  <si>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</si>
  <si>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</si>
  <si>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</si>
  <si>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</si>
  <si>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</si>
  <si>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</si>
  <si>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</si>
  <si>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</si>
  <si>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</si>
  <si>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</si>
  <si>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</si>
  <si>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</si>
  <si>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</si>
  <si>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</si>
  <si>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</si>
  <si>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</si>
  <si>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</si>
  <si>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</si>
  <si>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</si>
  <si>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</si>
  <si>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</si>
  <si>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</si>
  <si>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</si>
  <si>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</si>
  <si>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</si>
  <si>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</si>
  <si>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</si>
  <si>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</si>
  <si>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</si>
  <si>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</si>
  <si>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</si>
  <si>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</si>
  <si>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</si>
  <si>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</si>
  <si>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</si>
  <si>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</si>
  <si>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</si>
  <si>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</si>
  <si>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</si>
  <si>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</si>
  <si>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</si>
  <si>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</si>
  <si>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</si>
  <si>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</si>
  <si>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</si>
  <si>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</si>
  <si>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</si>
  <si>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</si>
  <si>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</si>
  <si>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</si>
  <si>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</si>
  <si>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</si>
  <si>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</si>
  <si>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</si>
  <si>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</si>
  <si>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</si>
  <si>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</si>
  <si>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</si>
  <si>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</si>
  <si>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</si>
  <si>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</si>
  <si>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</si>
  <si>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</si>
  <si>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</si>
  <si>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</si>
  <si>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</si>
  <si>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</si>
  <si>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</si>
  <si>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</si>
  <si>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</si>
  <si>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</si>
  <si>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</si>
  <si>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</si>
  <si>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</si>
  <si>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</si>
  <si>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</si>
  <si>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</si>
  <si>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</si>
  <si>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</si>
  <si>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</si>
  <si>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</si>
  <si>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</si>
  <si>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</si>
  <si>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</si>
  <si>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</si>
  <si>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</si>
  <si>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</si>
  <si>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</si>
  <si>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</si>
  <si>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</si>
  <si>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</si>
  <si>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</si>
  <si>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</si>
  <si>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</si>
  <si>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</si>
  <si>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</si>
  <si>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</si>
  <si>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</si>
  <si>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</si>
  <si>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</si>
  <si>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</si>
  <si>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</si>
  <si>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</si>
  <si>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</si>
  <si>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</si>
  <si>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</si>
  <si>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</si>
  <si>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</si>
  <si>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</si>
  <si>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</si>
  <si>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</si>
  <si>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</si>
  <si>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</si>
  <si>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</si>
  <si>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</si>
  <si>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</si>
  <si>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</si>
  <si>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</si>
  <si>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</si>
  <si>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</si>
  <si>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</si>
  <si>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</si>
  <si>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</si>
  <si>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</si>
  <si>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</si>
  <si>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</si>
  <si>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</si>
  <si>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</si>
  <si>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</si>
  <si>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</si>
  <si>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</si>
  <si>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</si>
  <si>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</si>
  <si>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</si>
  <si>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</si>
  <si>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</si>
  <si>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</si>
  <si>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</si>
  <si>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</si>
  <si>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</si>
  <si>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</si>
  <si>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</si>
  <si>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</si>
  <si>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</si>
  <si>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</si>
  <si>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</si>
  <si>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</si>
  <si>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</si>
  <si>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</si>
  <si>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</si>
  <si>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</si>
  <si>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</si>
  <si>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</si>
  <si>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</si>
  <si>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</si>
  <si>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</si>
  <si>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</si>
  <si>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</si>
  <si>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</si>
  <si>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</si>
  <si>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</si>
  <si>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</si>
  <si>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</si>
  <si>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</si>
  <si>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</si>
  <si>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</si>
  <si>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</si>
  <si>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</si>
  <si>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</si>
  <si>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</si>
  <si>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</si>
  <si>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</si>
  <si>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</si>
  <si>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</si>
  <si>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</si>
  <si>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</si>
  <si>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</si>
  <si>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</si>
  <si>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</si>
  <si>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</si>
  <si>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</si>
  <si>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</si>
  <si>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</si>
  <si>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</si>
  <si>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</si>
  <si>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</si>
  <si>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</si>
  <si>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</si>
  <si>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</si>
  <si>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</si>
  <si>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</si>
  <si>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</si>
  <si>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</si>
  <si>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</si>
  <si>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</si>
  <si>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</si>
  <si>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</si>
  <si>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</si>
  <si>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</si>
  <si>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</si>
  <si>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</si>
  <si>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</si>
  <si>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</si>
  <si>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</si>
  <si>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</si>
  <si>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</si>
  <si>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</si>
  <si>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</si>
  <si>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</si>
  <si>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</si>
  <si>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</si>
  <si>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</si>
  <si>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</si>
  <si>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</si>
  <si>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</si>
  <si>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</si>
  <si>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</si>
  <si>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</si>
  <si>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</si>
  <si>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</si>
  <si>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</si>
  <si>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</si>
  <si>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</si>
  <si>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</si>
  <si>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</si>
  <si>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</si>
  <si>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</si>
  <si>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</si>
  <si>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</si>
  <si>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</si>
  <si>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</si>
  <si>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</si>
  <si>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</si>
  <si>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</si>
  <si>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</si>
  <si>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</si>
  <si>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</si>
  <si>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</si>
  <si>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</si>
  <si>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</si>
  <si>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</si>
  <si>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</si>
  <si>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</si>
  <si>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</si>
  <si>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</si>
  <si>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</si>
  <si>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</si>
  <si>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</si>
  <si>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</si>
  <si>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</si>
  <si>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</si>
  <si>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</si>
  <si>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</si>
  <si>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</si>
  <si>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</si>
  <si>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</si>
  <si>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</si>
  <si>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</si>
  <si>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</si>
  <si>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</si>
  <si>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</si>
  <si>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</si>
  <si>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</si>
  <si>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</si>
  <si>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</si>
  <si>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</si>
  <si>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</si>
  <si>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</si>
  <si>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</si>
  <si>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</si>
  <si>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</si>
  <si>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</si>
  <si>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</si>
  <si>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</si>
  <si>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</si>
  <si>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</si>
  <si>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</si>
  <si>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</si>
  <si>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</si>
  <si>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</si>
  <si>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</si>
  <si>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</si>
  <si>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</si>
  <si>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</si>
  <si>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</si>
  <si>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</si>
  <si>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</si>
  <si>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</si>
  <si>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</si>
  <si>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</si>
  <si>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</si>
  <si>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</si>
  <si>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</si>
  <si>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</si>
  <si>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</si>
  <si>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</si>
  <si>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</si>
  <si>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</si>
  <si>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</si>
  <si>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</si>
  <si>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</si>
  <si>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</si>
  <si>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</si>
  <si>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</si>
  <si>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</si>
  <si>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</si>
  <si>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</si>
  <si>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</si>
  <si>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</si>
  <si>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</si>
  <si>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</si>
  <si>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</si>
  <si>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</si>
  <si>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</si>
  <si>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</si>
  <si>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</si>
  <si>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</si>
  <si>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</si>
  <si>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</si>
  <si>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</si>
  <si>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</si>
  <si>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</si>
  <si>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</si>
  <si>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</si>
  <si>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</si>
  <si>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</si>
  <si>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</si>
  <si>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</si>
  <si>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</si>
  <si>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</si>
  <si>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</si>
  <si>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</si>
  <si>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</si>
  <si>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</si>
  <si>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</si>
  <si>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</si>
  <si>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</si>
  <si>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</si>
  <si>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</si>
  <si>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</si>
  <si>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</si>
  <si>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</si>
  <si>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</si>
  <si>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</si>
  <si>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</si>
  <si>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</si>
  <si>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</si>
  <si>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</si>
  <si>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</si>
  <si>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</si>
  <si>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</si>
  <si>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</si>
  <si>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</si>
  <si>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</si>
  <si>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</si>
  <si>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</si>
  <si>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</si>
  <si>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</si>
  <si>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</si>
  <si>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</si>
  <si>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</si>
  <si>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</si>
  <si>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</si>
  <si>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</si>
  <si>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</si>
  <si>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</si>
  <si>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</si>
  <si>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</si>
  <si>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</si>
  <si>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</si>
  <si>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</si>
  <si>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</si>
  <si>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</si>
  <si>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</si>
  <si>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</si>
  <si>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</si>
  <si>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</si>
  <si>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</si>
  <si>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</si>
  <si>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</si>
  <si>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</si>
  <si>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</si>
  <si>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</si>
  <si>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</si>
  <si>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</si>
  <si>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</si>
  <si>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</si>
  <si>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</si>
  <si>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</si>
  <si>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</si>
  <si>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</si>
  <si>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</si>
  <si>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</si>
  <si>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</si>
  <si>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</si>
  <si>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</si>
  <si>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</si>
  <si>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</si>
  <si>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</si>
  <si>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</si>
  <si>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</si>
  <si>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</si>
  <si>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</si>
  <si>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</si>
  <si>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</si>
  <si>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</si>
  <si>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</si>
  <si>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</si>
  <si>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</si>
  <si>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</si>
  <si>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</si>
  <si>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</si>
  <si>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</si>
  <si>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</si>
  <si>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</si>
  <si>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</si>
  <si>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</si>
  <si>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</si>
  <si>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</si>
  <si>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</si>
  <si>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</si>
  <si>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</si>
  <si>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</si>
  <si>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</si>
  <si>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</si>
  <si>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</si>
  <si>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</si>
  <si>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</si>
  <si>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</si>
  <si>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</si>
  <si>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</si>
  <si>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</si>
  <si>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</si>
  <si>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</si>
  <si>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</si>
  <si>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</si>
  <si>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</si>
  <si>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</si>
  <si>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</si>
  <si>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</si>
  <si>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</si>
  <si>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</si>
  <si>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</si>
  <si>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</si>
  <si>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</si>
  <si>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</si>
  <si>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</si>
  <si>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</si>
  <si>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</si>
  <si>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</si>
  <si>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</si>
  <si>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</si>
  <si>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</si>
  <si>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</si>
  <si>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</si>
  <si>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</si>
  <si>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</si>
  <si>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</si>
  <si>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</si>
  <si>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</si>
  <si>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</si>
  <si>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</si>
  <si>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</si>
  <si>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</si>
  <si>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</si>
  <si>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</si>
  <si>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</si>
  <si>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</si>
  <si>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</si>
  <si>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</si>
  <si>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</si>
  <si>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</si>
  <si>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</si>
  <si>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</si>
  <si>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</si>
  <si>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</si>
  <si>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</si>
  <si>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</si>
  <si>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</si>
  <si>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</si>
  <si>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</si>
  <si>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</si>
  <si>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</si>
  <si>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</si>
  <si>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</si>
  <si>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</si>
  <si>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</si>
  <si>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</si>
  <si>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</si>
  <si>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</si>
  <si>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</si>
  <si>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</si>
  <si>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</si>
  <si>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</si>
  <si>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</si>
  <si>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</si>
  <si>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</si>
  <si>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</si>
  <si>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</si>
  <si>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</si>
  <si>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</si>
  <si>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</si>
  <si>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</si>
  <si>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</si>
  <si>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</si>
  <si>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</si>
  <si>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</si>
  <si>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</si>
  <si>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</si>
  <si>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</si>
  <si>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</si>
  <si>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</si>
  <si>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</si>
  <si>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</si>
  <si>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</si>
  <si>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</si>
  <si>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</si>
  <si>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</si>
  <si>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</si>
  <si>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</si>
  <si>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</si>
  <si>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</si>
  <si>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</si>
  <si>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</si>
  <si>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</si>
  <si>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</si>
  <si>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</si>
  <si>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</si>
  <si>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</si>
  <si>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</si>
  <si>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</si>
  <si>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</si>
  <si>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</si>
  <si>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</si>
  <si>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</si>
  <si>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</si>
  <si>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</si>
  <si>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</si>
  <si>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</si>
  <si>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</si>
  <si>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</si>
  <si>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</si>
  <si>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</si>
  <si>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</si>
  <si>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</si>
  <si>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</si>
  <si>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</si>
  <si>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</si>
  <si>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</si>
  <si>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</si>
  <si>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</si>
  <si>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</si>
  <si>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</si>
  <si>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</si>
  <si>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</si>
  <si>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</si>
  <si>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</si>
  <si>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</si>
  <si>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</si>
  <si>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</si>
  <si>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</si>
  <si>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</si>
  <si>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</si>
  <si>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</si>
  <si>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</si>
  <si>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</si>
  <si>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</si>
  <si>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</si>
  <si>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</si>
  <si>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</si>
  <si>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</si>
  <si>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</si>
  <si>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</si>
  <si>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</si>
  <si>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</si>
  <si>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</si>
  <si>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</si>
  <si>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</si>
  <si>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</si>
  <si>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</si>
  <si>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</si>
  <si>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</si>
  <si>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</si>
  <si>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</si>
  <si>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</si>
  <si>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</si>
  <si>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</si>
  <si>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</si>
  <si>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</si>
  <si>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</si>
  <si>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</si>
  <si>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</si>
  <si>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</si>
  <si>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</si>
  <si>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</si>
  <si>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</si>
  <si>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</si>
  <si>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</si>
  <si>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</si>
  <si>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</si>
  <si>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</si>
  <si>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</si>
  <si>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</si>
  <si>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</si>
  <si>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</si>
  <si>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</si>
  <si>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</si>
  <si>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</si>
  <si>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</si>
  <si>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</si>
  <si>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</si>
  <si>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</si>
  <si>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</si>
  <si>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</si>
  <si>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</si>
  <si>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</si>
  <si>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</si>
  <si>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</si>
  <si>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</si>
  <si>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</si>
  <si>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</si>
  <si>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</si>
  <si>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</si>
  <si>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</si>
  <si>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</si>
  <si>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</si>
  <si>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</si>
  <si>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</si>
  <si>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</si>
  <si>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</si>
  <si>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</si>
  <si>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</si>
  <si>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</si>
  <si>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</si>
  <si>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</si>
  <si>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</si>
  <si>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</si>
  <si>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</si>
  <si>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</si>
  <si>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</si>
  <si>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</si>
  <si>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</si>
  <si>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</si>
  <si>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</si>
  <si>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</si>
  <si>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</si>
  <si>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</si>
  <si>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</si>
  <si>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</si>
  <si>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</si>
  <si>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</si>
  <si>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</si>
  <si>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</si>
  <si>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</si>
  <si>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</si>
  <si>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</si>
  <si>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</si>
  <si>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</si>
  <si>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</si>
  <si>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</si>
  <si>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</si>
  <si>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</si>
  <si>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</si>
  <si>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</si>
  <si>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</si>
  <si>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</si>
  <si>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</si>
  <si>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</si>
  <si>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</si>
  <si>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</si>
  <si>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</si>
  <si>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</si>
  <si>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</si>
  <si>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</si>
  <si>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</si>
  <si>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</si>
  <si>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</si>
  <si>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</si>
  <si>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</si>
  <si>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</si>
  <si>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</si>
  <si>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</si>
  <si>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</si>
  <si>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</si>
  <si>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</si>
  <si>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</si>
  <si>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</si>
  <si>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</si>
  <si>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</si>
  <si>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</si>
  <si>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</si>
  <si>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</si>
  <si>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</si>
  <si>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</si>
  <si>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</si>
  <si>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</si>
  <si>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</si>
  <si>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</si>
  <si>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</si>
  <si>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</si>
  <si>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</si>
  <si>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</si>
  <si>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</si>
  <si>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</si>
  <si>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</si>
  <si>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</si>
  <si>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</si>
  <si>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</si>
  <si>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</si>
  <si>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</si>
  <si>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</si>
  <si>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</si>
  <si>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</si>
  <si>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</si>
  <si>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</si>
  <si>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</si>
  <si>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</si>
  <si>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</si>
  <si>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</si>
  <si>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</si>
  <si>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</si>
  <si>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</si>
  <si>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</si>
  <si>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</si>
  <si>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</si>
  <si>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</si>
  <si>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</si>
  <si>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</si>
  <si>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</si>
  <si>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</si>
  <si>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</si>
  <si>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</si>
  <si>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</si>
  <si>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</si>
  <si>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</si>
  <si>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</si>
  <si>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</si>
  <si>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</si>
  <si>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</si>
  <si>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</si>
  <si>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</si>
  <si>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</si>
  <si>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</si>
  <si>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</si>
  <si>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</si>
  <si>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</si>
  <si>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</si>
  <si>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</si>
  <si>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</si>
  <si>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</si>
  <si>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</si>
  <si>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</si>
  <si>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</si>
  <si>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</si>
  <si>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</si>
  <si>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</si>
  <si>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</si>
  <si>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</si>
  <si>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</si>
  <si>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</si>
  <si>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</si>
  <si>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</si>
  <si>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</si>
  <si>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</si>
  <si>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</si>
  <si>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</si>
  <si>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</si>
  <si>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</si>
  <si>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</si>
  <si>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</si>
  <si>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</si>
  <si>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</si>
  <si>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</si>
  <si>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</si>
  <si>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</si>
  <si>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</si>
  <si>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</si>
  <si>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</si>
  <si>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</si>
  <si>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</si>
  <si>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</si>
  <si>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</si>
  <si>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</si>
  <si>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</si>
  <si>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</si>
  <si>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</si>
  <si>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</si>
  <si>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</si>
  <si>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</si>
  <si>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</si>
  <si>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</si>
  <si>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</si>
  <si>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</si>
  <si>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</si>
  <si>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</si>
  <si>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</si>
  <si>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</si>
  <si>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</si>
  <si>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</si>
  <si>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</si>
  <si>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</si>
  <si>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</si>
  <si>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</si>
  <si>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</si>
  <si>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</si>
  <si>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</si>
  <si>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</si>
  <si>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</si>
  <si>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</si>
  <si>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</si>
  <si>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</si>
  <si>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</si>
  <si>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</si>
  <si>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</si>
  <si>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</si>
  <si>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</si>
  <si>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</si>
  <si>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</si>
  <si>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</si>
  <si>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</si>
  <si>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</si>
  <si>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</si>
  <si>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</si>
  <si>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</si>
  <si>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</si>
  <si>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</si>
  <si>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</si>
  <si>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</si>
  <si>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</si>
  <si>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</si>
  <si>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</si>
  <si>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</si>
  <si>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</si>
  <si>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</si>
  <si>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</si>
  <si>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</si>
  <si>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</si>
  <si>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</si>
  <si>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</si>
  <si>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</si>
  <si>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</si>
  <si>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</si>
  <si>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</si>
  <si>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</si>
  <si>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</si>
  <si>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</si>
  <si>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</si>
  <si>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</si>
  <si>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</si>
  <si>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</si>
  <si>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</si>
  <si>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</si>
  <si>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</si>
  <si>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</si>
  <si>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</si>
  <si>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</si>
  <si>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</si>
  <si>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</si>
  <si>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</si>
  <si>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</si>
  <si>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</si>
  <si>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</si>
  <si>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</si>
  <si>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</si>
  <si>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</si>
  <si>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</si>
  <si>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</si>
  <si>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</si>
  <si>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</si>
  <si>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</si>
  <si>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</si>
  <si>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</si>
  <si>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</si>
  <si>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</si>
  <si>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</si>
  <si>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</si>
  <si>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</si>
  <si>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</si>
  <si>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</si>
  <si>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</si>
  <si>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</si>
  <si>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</si>
  <si>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</si>
  <si>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</si>
  <si>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</si>
  <si>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</si>
  <si>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</si>
  <si>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</si>
  <si>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</si>
  <si>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</si>
  <si>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</si>
  <si>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</si>
  <si>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</si>
  <si>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</si>
  <si>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</si>
  <si>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</si>
  <si>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</si>
  <si>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</si>
  <si>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</si>
  <si>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</si>
  <si>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</si>
  <si>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</si>
  <si>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</si>
  <si>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</si>
  <si>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</si>
  <si>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</si>
  <si>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</si>
  <si>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</si>
  <si>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</si>
  <si>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</si>
  <si>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</si>
  <si>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</si>
  <si>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</si>
  <si>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</si>
  <si>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</si>
  <si>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</si>
  <si>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</si>
  <si>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</si>
  <si>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</si>
  <si>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</si>
  <si>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</si>
  <si>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</si>
  <si>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</si>
  <si>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</si>
  <si>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</si>
  <si>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</si>
  <si>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</si>
  <si>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</si>
  <si>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</si>
  <si>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</si>
  <si>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</si>
  <si>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</si>
  <si>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</si>
  <si>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</si>
  <si>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</si>
  <si>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</si>
  <si>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</si>
  <si>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</si>
  <si>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</si>
  <si>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</si>
  <si>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</si>
  <si>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</si>
  <si>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</si>
  <si>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</si>
  <si>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</si>
  <si>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</si>
  <si>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</si>
  <si>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</si>
  <si>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</si>
  <si>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</si>
  <si>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</si>
  <si>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</si>
  <si>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</si>
  <si>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</si>
  <si>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</si>
  <si>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</si>
  <si>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</si>
  <si>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</si>
  <si>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</si>
  <si>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</si>
  <si>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</si>
  <si>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</si>
  <si>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</si>
  <si>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</si>
  <si>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</si>
  <si>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</si>
  <si>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</si>
  <si>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</si>
  <si>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</si>
  <si>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</si>
  <si>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</si>
  <si>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</si>
  <si>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</si>
  <si>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</si>
  <si>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</si>
  <si>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</si>
  <si>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</si>
  <si>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</si>
  <si>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</si>
  <si>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</si>
  <si>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</si>
  <si>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</si>
  <si>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</si>
  <si>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</si>
  <si>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</si>
  <si>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</si>
  <si>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</si>
  <si>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</si>
  <si>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</si>
  <si>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</si>
  <si>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</si>
  <si>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</si>
  <si>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</si>
  <si>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</si>
  <si>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</si>
  <si>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</si>
  <si>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</si>
  <si>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</si>
  <si>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</si>
  <si>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</si>
  <si>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</si>
  <si>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</si>
  <si>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</si>
  <si>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</si>
  <si>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</si>
  <si>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</si>
  <si>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</si>
  <si>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</si>
  <si>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</si>
  <si>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</si>
  <si>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</si>
  <si>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</si>
  <si>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</si>
  <si>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</si>
  <si>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</si>
  <si>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</si>
  <si>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</si>
  <si>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</si>
  <si>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</si>
  <si>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</si>
  <si>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</si>
  <si>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</si>
  <si>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</si>
  <si>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</si>
  <si>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</si>
  <si>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</si>
  <si>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</si>
  <si>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</si>
  <si>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</si>
  <si>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</si>
  <si>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</si>
  <si>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</si>
  <si>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</si>
  <si>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</si>
  <si>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</si>
  <si>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</si>
  <si>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</si>
  <si>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</si>
  <si>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</si>
  <si>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</si>
  <si>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</si>
  <si>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</si>
  <si>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</si>
  <si>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</si>
  <si>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</si>
  <si>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</si>
  <si>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</si>
  <si>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</si>
  <si>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</si>
  <si>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</si>
  <si>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</si>
  <si>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</si>
  <si>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</si>
  <si>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</si>
  <si>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</si>
  <si>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</si>
  <si>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</si>
  <si>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</si>
  <si>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</si>
  <si>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</si>
  <si>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</si>
  <si>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</si>
  <si>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</si>
  <si>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</si>
  <si>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</si>
  <si>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</si>
  <si>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</si>
  <si>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</si>
  <si>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</si>
  <si>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</si>
  <si>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</si>
  <si>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</si>
  <si>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</si>
  <si>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</si>
  <si>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</si>
  <si>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</si>
  <si>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</si>
  <si>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</si>
  <si>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</si>
  <si>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</si>
  <si>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</si>
  <si>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</si>
  <si>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</si>
  <si>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</si>
  <si>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</si>
  <si>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</si>
  <si>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</si>
  <si>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</si>
  <si>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</si>
  <si>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</si>
  <si>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</si>
  <si>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</si>
  <si>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</si>
  <si>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</si>
  <si>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</si>
  <si>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</si>
  <si>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</si>
  <si>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</si>
  <si>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</si>
  <si>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</si>
  <si>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</si>
  <si>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</si>
  <si>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</si>
  <si>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</si>
  <si>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</si>
  <si>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</si>
  <si>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</si>
  <si>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</si>
  <si>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</si>
  <si>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</si>
  <si>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</si>
  <si>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</si>
  <si>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</si>
  <si>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</si>
  <si>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</si>
  <si>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</si>
  <si>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</si>
  <si>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</si>
  <si>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</si>
  <si>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</si>
  <si>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</si>
  <si>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</si>
  <si>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</si>
  <si>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</si>
  <si>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</si>
  <si>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</si>
  <si>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</si>
  <si>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</si>
  <si>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</si>
  <si>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</si>
  <si>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</si>
  <si>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</si>
  <si>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</si>
  <si>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</si>
  <si>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</si>
  <si>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</si>
  <si>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</si>
  <si>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</si>
  <si>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</si>
  <si>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</si>
  <si>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</si>
  <si>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</si>
  <si>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</si>
  <si>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</si>
  <si>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</si>
  <si>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</si>
  <si>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</si>
  <si>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</si>
  <si>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</si>
  <si>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</si>
  <si>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</si>
  <si>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</si>
  <si>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</si>
  <si>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</si>
  <si>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</si>
  <si>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</si>
  <si>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</si>
  <si>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</si>
  <si>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</si>
  <si>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</si>
  <si>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</si>
  <si>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</si>
  <si>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</si>
  <si>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</si>
  <si>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</si>
  <si>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</si>
  <si>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</si>
  <si>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</si>
  <si>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</si>
  <si>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</si>
  <si>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</si>
  <si>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</si>
  <si>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</si>
  <si>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</si>
  <si>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</si>
  <si>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</si>
  <si>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</si>
  <si>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</si>
  <si>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</si>
  <si>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</si>
  <si>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</si>
  <si>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</si>
  <si>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</si>
  <si>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</si>
  <si>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</si>
  <si>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</si>
  <si>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</si>
  <si>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</si>
  <si>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</si>
  <si>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</si>
  <si>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</si>
  <si>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</si>
  <si>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</si>
  <si>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</si>
  <si>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</si>
  <si>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</si>
  <si>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</si>
  <si>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</si>
  <si>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</si>
  <si>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</si>
  <si>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</si>
  <si>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</si>
  <si>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</si>
  <si>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</si>
  <si>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</si>
  <si>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</si>
  <si>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</si>
  <si>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</si>
  <si>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</si>
  <si>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</si>
  <si>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</si>
  <si>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</si>
  <si>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</si>
  <si>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</si>
  <si>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</si>
  <si>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</si>
  <si>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</si>
  <si>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</si>
  <si>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</si>
  <si>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</si>
  <si>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</si>
  <si>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</si>
  <si>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</si>
  <si>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</si>
  <si>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</si>
  <si>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</si>
  <si>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</si>
  <si>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</si>
  <si>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</si>
  <si>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</si>
  <si>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</si>
  <si>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</si>
  <si>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</si>
  <si>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</si>
  <si>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</si>
  <si>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</si>
  <si>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</si>
  <si>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</si>
  <si>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</si>
  <si>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</si>
  <si>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</si>
  <si>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</si>
  <si>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</si>
  <si>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</si>
  <si>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</si>
  <si>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</si>
  <si>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</si>
  <si>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</si>
  <si>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</si>
  <si>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</si>
  <si>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</si>
  <si>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</si>
  <si>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</si>
  <si>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</si>
  <si>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</si>
  <si>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</si>
  <si>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</si>
  <si>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</si>
  <si>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</si>
  <si>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</si>
  <si>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</si>
  <si>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</si>
  <si>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</si>
  <si>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</si>
  <si>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</si>
  <si>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</si>
  <si>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</si>
  <si>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</si>
  <si>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</si>
  <si>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</si>
  <si>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</si>
  <si>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</si>
  <si>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</si>
  <si>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</si>
  <si>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</si>
  <si>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</si>
  <si>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</si>
  <si>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</si>
  <si>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</si>
  <si>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</si>
  <si>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</si>
  <si>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</si>
  <si>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</si>
  <si>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</si>
  <si>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</si>
  <si>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</si>
  <si>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</si>
  <si>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</si>
  <si>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</si>
  <si>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</si>
  <si>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</si>
  <si>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</si>
  <si>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</si>
  <si>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</si>
  <si>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</si>
  <si>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</si>
  <si>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</si>
  <si>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</si>
  <si>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</si>
  <si>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</si>
  <si>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</si>
  <si>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</si>
  <si>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</si>
  <si>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</si>
  <si>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</si>
  <si>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</si>
  <si>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</si>
  <si>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</si>
  <si>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</si>
  <si>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</si>
  <si>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</si>
  <si>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</si>
  <si>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</si>
  <si>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</si>
  <si>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</si>
  <si>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</si>
  <si>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</si>
  <si>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</si>
  <si>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</si>
  <si>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</si>
  <si>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</si>
  <si>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</si>
  <si>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</si>
  <si>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</si>
  <si>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</si>
  <si>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</si>
  <si>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</si>
  <si>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</si>
  <si>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</si>
  <si>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</si>
  <si>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</si>
  <si>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</si>
  <si>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</si>
  <si>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</si>
  <si>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</si>
  <si>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</si>
  <si>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</si>
  <si>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</si>
  <si>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</si>
  <si>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</si>
  <si>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</si>
  <si>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</si>
  <si>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</si>
  <si>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</si>
  <si>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</si>
  <si>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</si>
  <si>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</si>
  <si>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</si>
  <si>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</si>
  <si>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</si>
  <si>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</si>
  <si>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</si>
  <si>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</si>
  <si>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</si>
  <si>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</si>
  <si>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</si>
  <si>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</si>
  <si>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</si>
  <si>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</si>
  <si>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</si>
  <si>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</si>
  <si>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</si>
  <si>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</si>
  <si>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</si>
  <si>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</si>
  <si>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</si>
  <si>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</si>
  <si>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</si>
  <si>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</si>
  <si>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</si>
  <si>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</si>
  <si>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</si>
  <si>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</si>
  <si>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</si>
  <si>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</si>
  <si>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</si>
  <si>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</si>
  <si>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</si>
  <si>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</si>
  <si>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</si>
  <si>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</si>
  <si>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</si>
  <si>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</si>
  <si>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</si>
  <si>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</si>
  <si>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</si>
  <si>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</si>
  <si>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</si>
  <si>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</si>
  <si>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</si>
  <si>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</si>
  <si>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</si>
  <si>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</si>
  <si>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</si>
  <si>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</si>
  <si>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</si>
  <si>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</si>
  <si>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</si>
  <si>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</si>
  <si>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</si>
  <si>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</si>
  <si>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</si>
  <si>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</si>
  <si>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</si>
  <si>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</si>
  <si>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</si>
  <si>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</si>
  <si>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</si>
  <si>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</si>
  <si>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</si>
  <si>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</si>
  <si>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</si>
  <si>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</si>
  <si>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</si>
  <si>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</si>
  <si>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</si>
  <si>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</si>
  <si>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</si>
  <si>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</si>
  <si>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</si>
  <si>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</si>
  <si>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</si>
  <si>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</si>
  <si>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</si>
  <si>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</si>
  <si>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</si>
  <si>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</si>
  <si>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</si>
  <si>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</si>
  <si>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</si>
  <si>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</si>
  <si>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</si>
  <si>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</si>
  <si>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</si>
  <si>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</si>
  <si>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</si>
  <si>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</si>
  <si>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</si>
  <si>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</si>
  <si>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</si>
  <si>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</si>
  <si>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</si>
  <si>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</si>
  <si>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</si>
  <si>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</si>
  <si>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</si>
  <si>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</si>
  <si>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</si>
  <si>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</si>
  <si>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</si>
  <si>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</si>
  <si>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</si>
  <si>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</si>
  <si>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</si>
  <si>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</si>
  <si>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</si>
  <si>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</si>
  <si>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</si>
  <si>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</si>
  <si>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</si>
  <si>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</si>
  <si>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</si>
  <si>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</si>
  <si>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</si>
  <si>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</si>
  <si>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</si>
  <si>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</si>
  <si>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</si>
  <si>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</si>
  <si>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</si>
  <si>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</si>
  <si>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</si>
  <si>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</si>
  <si>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</si>
  <si>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</si>
  <si>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</si>
  <si>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</si>
  <si>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</si>
  <si>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</si>
  <si>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</si>
  <si>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</si>
  <si>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</si>
  <si>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</si>
  <si>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</si>
  <si>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</si>
  <si>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</si>
  <si>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</si>
  <si>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</si>
  <si>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</si>
  <si>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</si>
  <si>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</si>
  <si>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</si>
  <si>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</si>
  <si>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</si>
  <si>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</si>
  <si>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</si>
  <si>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</si>
  <si>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</si>
  <si>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</si>
  <si>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</si>
  <si>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</si>
  <si>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</si>
  <si>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</si>
  <si>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</si>
  <si>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</si>
  <si>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</si>
  <si>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</si>
  <si>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</si>
  <si>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</si>
  <si>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</si>
  <si>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</si>
  <si>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</si>
  <si>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</si>
  <si>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</si>
  <si>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</si>
  <si>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</si>
  <si>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</si>
  <si>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</si>
  <si>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</si>
  <si>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</si>
  <si>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</si>
  <si>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</si>
  <si>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</si>
  <si>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</si>
  <si>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</si>
  <si>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</si>
  <si>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</si>
  <si>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</si>
  <si>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</si>
  <si>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</si>
  <si>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</si>
  <si>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</si>
  <si>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</si>
  <si>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</si>
  <si>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</si>
  <si>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</si>
  <si>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</si>
  <si>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</si>
  <si>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</si>
  <si>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</si>
  <si>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</si>
  <si>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</si>
  <si>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</si>
  <si>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</si>
  <si>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</si>
  <si>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</si>
  <si>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</si>
  <si>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</si>
  <si>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</si>
  <si>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</si>
  <si>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</si>
  <si>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</si>
  <si>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</si>
  <si>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</si>
  <si>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</si>
  <si>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</si>
  <si>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</si>
  <si>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</si>
  <si>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</si>
  <si>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</si>
  <si>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</si>
  <si>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</si>
  <si>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</si>
  <si>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</si>
  <si>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</si>
  <si>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</si>
  <si>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</si>
  <si>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</si>
  <si>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</si>
  <si>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</si>
  <si>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</si>
  <si>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</si>
  <si>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</si>
  <si>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</si>
  <si>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</si>
  <si>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</si>
  <si>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</si>
  <si>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</si>
  <si>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</si>
  <si>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</si>
  <si>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</si>
  <si>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</si>
  <si>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</si>
  <si>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</si>
  <si>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</si>
  <si>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</si>
  <si>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</si>
  <si>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</si>
  <si>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</si>
  <si>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</si>
  <si>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</si>
  <si>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</si>
  <si>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</si>
  <si>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</si>
  <si>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</si>
  <si>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</si>
  <si>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</si>
  <si>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</si>
  <si>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</si>
  <si>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</si>
  <si>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</si>
  <si>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</si>
  <si>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</si>
  <si>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</si>
  <si>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</si>
  <si>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</si>
  <si>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</si>
  <si>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</si>
  <si>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</si>
  <si>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</si>
  <si>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</si>
  <si>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</si>
  <si>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</si>
  <si>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</si>
  <si>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</si>
  <si>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</si>
  <si>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</si>
  <si>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</si>
  <si>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</si>
  <si>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</si>
  <si>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</si>
  <si>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</si>
  <si>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</si>
  <si>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</si>
  <si>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</si>
  <si>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</si>
  <si>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</si>
  <si>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</si>
  <si>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</si>
  <si>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</si>
  <si>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</si>
  <si>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</si>
  <si>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</si>
  <si>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</si>
  <si>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</si>
  <si>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</si>
  <si>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</si>
  <si>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</si>
  <si>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</si>
  <si>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</si>
  <si>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</si>
  <si>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</si>
  <si>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</si>
  <si>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</si>
  <si>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</si>
  <si>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</si>
  <si>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</si>
  <si>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</si>
  <si>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</si>
  <si>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</si>
  <si>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</si>
  <si>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</si>
  <si>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</si>
  <si>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</si>
  <si>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</si>
  <si>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</si>
  <si>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</si>
  <si>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</si>
  <si>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</si>
  <si>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</si>
  <si>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</si>
  <si>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</si>
  <si>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</si>
  <si>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</si>
  <si>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</si>
  <si>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</si>
  <si>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</si>
  <si>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</si>
  <si>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</si>
  <si>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</si>
  <si>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</si>
  <si>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</si>
  <si>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</si>
  <si>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</si>
  <si>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</si>
  <si>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</si>
  <si>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</si>
  <si>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</si>
  <si>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</si>
  <si>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</si>
  <si>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</si>
  <si>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</si>
  <si>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</si>
  <si>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</si>
  <si>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</si>
  <si>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</si>
  <si>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</si>
  <si>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</si>
  <si>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</si>
  <si>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</si>
  <si>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</si>
  <si>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</si>
  <si>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</si>
  <si>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</si>
  <si>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</si>
  <si>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</si>
  <si>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</si>
  <si>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</si>
  <si>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</si>
  <si>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</si>
  <si>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</si>
  <si>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</si>
  <si>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</si>
  <si>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</si>
  <si>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</si>
  <si>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</si>
  <si>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</si>
  <si>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</si>
  <si>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</si>
  <si>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</si>
  <si>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</si>
  <si>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</si>
  <si>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</si>
  <si>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</si>
  <si>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</si>
  <si>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</si>
  <si>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</si>
  <si>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</si>
  <si>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</si>
  <si>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</si>
  <si>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</si>
  <si>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</si>
  <si>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</si>
  <si>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</si>
  <si>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</si>
  <si>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</si>
  <si>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</si>
  <si>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</si>
  <si>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</si>
  <si>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</si>
  <si>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</si>
  <si>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</si>
  <si>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</si>
  <si>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</si>
  <si>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</si>
  <si>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</si>
  <si>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</si>
  <si>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</si>
  <si>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</si>
  <si>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</si>
  <si>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</si>
  <si>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</si>
  <si>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</si>
  <si>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</si>
  <si>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</si>
  <si>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</si>
  <si>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</si>
  <si>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</si>
  <si>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</si>
  <si>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</si>
  <si>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</si>
  <si>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</si>
  <si>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</si>
  <si>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</si>
  <si>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</si>
  <si>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</si>
  <si>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</si>
  <si>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</si>
  <si>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</si>
  <si>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</si>
  <si>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</si>
  <si>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</si>
  <si>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</si>
  <si>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</si>
  <si>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</si>
  <si>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</si>
  <si>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</si>
  <si>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</si>
  <si>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</si>
  <si>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</si>
  <si>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</si>
  <si>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</si>
  <si>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</si>
  <si>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</si>
  <si>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</si>
  <si>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</si>
  <si>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</si>
  <si>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</si>
  <si>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</si>
  <si>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</si>
  <si>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</si>
  <si>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</si>
  <si>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</si>
  <si>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</si>
  <si>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</si>
  <si>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</si>
  <si>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</si>
  <si>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</si>
  <si>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</si>
  <si>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</si>
  <si>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</si>
  <si>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</si>
  <si>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</si>
  <si>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</si>
  <si>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</si>
  <si>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</si>
  <si>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</si>
  <si>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</si>
  <si>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</si>
  <si>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</si>
  <si>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</si>
  <si>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</si>
  <si>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</si>
  <si>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</si>
  <si>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</si>
  <si>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</si>
  <si>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</si>
  <si>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</si>
  <si>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</si>
  <si>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</si>
  <si>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</si>
  <si>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</si>
  <si>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</si>
  <si>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</si>
  <si>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</si>
  <si>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</si>
  <si>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</si>
  <si>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</si>
  <si>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</si>
  <si>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</si>
  <si>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</si>
  <si>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</si>
  <si>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</si>
  <si>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</si>
  <si>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</si>
  <si>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</si>
  <si>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</si>
  <si>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</si>
  <si>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</si>
  <si>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</si>
  <si>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</si>
  <si>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</si>
  <si>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</si>
  <si>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</si>
  <si>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</si>
  <si>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</si>
  <si>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</si>
  <si>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</si>
  <si>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</si>
  <si>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</si>
  <si>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</si>
  <si>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</si>
  <si>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</si>
  <si>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</si>
  <si>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</si>
  <si>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</si>
  <si>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</si>
  <si>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</si>
  <si>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</si>
  <si>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</si>
  <si>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</si>
  <si>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</si>
  <si>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</si>
  <si>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</si>
  <si>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</si>
  <si>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</si>
  <si>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</si>
  <si>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</si>
  <si>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</si>
  <si>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</si>
  <si>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</si>
  <si>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</si>
  <si>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</si>
  <si>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</si>
  <si>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</si>
  <si>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</si>
  <si>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</si>
  <si>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</si>
  <si>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</si>
  <si>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</si>
  <si>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</si>
  <si>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</si>
  <si>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</si>
  <si>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</si>
  <si>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</si>
  <si>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</si>
  <si>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</si>
  <si>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</si>
  <si>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</si>
  <si>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</si>
  <si>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</si>
  <si>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</si>
  <si>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</si>
  <si>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</si>
  <si>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</si>
  <si>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</si>
  <si>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</si>
  <si>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</si>
  <si>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</si>
  <si>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</si>
  <si>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</si>
  <si>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</si>
  <si>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</si>
  <si>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</si>
  <si>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</si>
  <si>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</si>
  <si>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</si>
  <si>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</si>
  <si>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</si>
  <si>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</si>
  <si>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</si>
  <si>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</si>
  <si>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</si>
  <si>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</si>
  <si>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</si>
  <si>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</si>
  <si>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</si>
  <si>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</si>
  <si>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</si>
  <si>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</si>
  <si>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</si>
  <si>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</si>
  <si>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</si>
  <si>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</si>
  <si>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</si>
  <si>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</si>
  <si>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</si>
  <si>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</si>
  <si>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</si>
  <si>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</si>
  <si>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</si>
  <si>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</si>
  <si>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</si>
  <si>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</si>
  <si>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</si>
  <si>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</si>
  <si>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</si>
  <si>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</si>
  <si>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</si>
  <si>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</si>
  <si>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</si>
  <si>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</si>
  <si>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</si>
  <si>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</si>
  <si>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</si>
  <si>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</si>
  <si>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</si>
  <si>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</si>
  <si>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</si>
  <si>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</si>
  <si>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</si>
  <si>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</si>
  <si>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</si>
  <si>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</si>
  <si>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</si>
  <si>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</si>
  <si>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</si>
  <si>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</si>
  <si>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</si>
  <si>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</si>
  <si>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</si>
  <si>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</si>
  <si>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</si>
  <si>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</si>
  <si>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</si>
  <si>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</si>
  <si>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</si>
  <si>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</si>
  <si>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</si>
  <si>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</si>
  <si>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</si>
  <si>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</si>
  <si>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</si>
  <si>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</si>
  <si>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</si>
  <si>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</si>
  <si>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</si>
  <si>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</si>
  <si>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</si>
  <si>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</si>
  <si>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</si>
  <si>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</si>
  <si>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</si>
  <si>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</si>
  <si>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</si>
  <si>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</si>
  <si>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</si>
  <si>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</si>
  <si>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</si>
  <si>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</si>
  <si>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</si>
  <si>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</si>
  <si>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</si>
  <si>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</si>
  <si>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</si>
  <si>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</si>
  <si>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</si>
  <si>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</si>
  <si>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</si>
  <si>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</si>
  <si>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</si>
  <si>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</si>
  <si>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</si>
  <si>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</si>
  <si>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</si>
  <si>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</si>
  <si>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</si>
  <si>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</si>
  <si>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</si>
  <si>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</si>
  <si>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</si>
  <si>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</si>
  <si>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</si>
  <si>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</si>
  <si>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</si>
  <si>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</si>
  <si>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</si>
  <si>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</si>
  <si>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</si>
  <si>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</si>
  <si>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</si>
  <si>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</si>
  <si>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</si>
  <si>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</si>
  <si>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</si>
  <si>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</si>
  <si>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</si>
  <si>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</si>
  <si>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</si>
  <si>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</si>
  <si>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</si>
  <si>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</si>
  <si>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</si>
  <si>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</si>
  <si>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</si>
  <si>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</si>
  <si>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</si>
  <si>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</si>
  <si>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</si>
  <si>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</si>
  <si>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</si>
  <si>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</si>
  <si>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</si>
  <si>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</si>
  <si>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</si>
  <si>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</si>
  <si>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</si>
  <si>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</si>
  <si>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</si>
  <si>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</si>
  <si>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</si>
  <si>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</si>
  <si>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</si>
  <si>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</si>
  <si>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</si>
  <si>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</si>
  <si>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</si>
  <si>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</si>
  <si>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</si>
  <si>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</si>
  <si>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</si>
  <si>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</si>
  <si>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</si>
  <si>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</si>
  <si>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</si>
  <si>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</si>
  <si>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</si>
  <si>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</si>
  <si>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</si>
  <si>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</si>
  <si>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</si>
  <si>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</si>
  <si>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</si>
  <si>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</si>
  <si>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</si>
  <si>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</si>
  <si>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</si>
  <si>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</si>
  <si>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</si>
  <si>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</si>
  <si>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</si>
  <si>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</si>
  <si>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</si>
  <si>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</si>
  <si>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</si>
  <si>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</si>
  <si>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</si>
  <si>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</si>
  <si>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</si>
  <si>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</si>
  <si>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</si>
  <si>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</si>
  <si>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</si>
  <si>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</si>
  <si>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</si>
  <si>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</si>
  <si>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</si>
  <si>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</si>
  <si>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</si>
  <si>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</si>
  <si>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</si>
  <si>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</si>
  <si>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</si>
  <si>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</si>
  <si>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</si>
  <si>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</si>
  <si>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</si>
  <si>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</si>
  <si>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</si>
  <si>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</si>
  <si>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</si>
  <si>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</si>
  <si>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</si>
  <si>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</si>
  <si>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</si>
  <si>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</si>
  <si>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</si>
  <si>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</si>
  <si>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</si>
  <si>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</si>
  <si>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</si>
  <si>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</si>
  <si>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</si>
  <si>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</si>
  <si>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</si>
  <si>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</si>
  <si>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</si>
  <si>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</si>
  <si>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</si>
  <si>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</si>
  <si>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</si>
  <si>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</si>
  <si>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</si>
  <si>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</si>
  <si>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</si>
  <si>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</si>
  <si>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</si>
  <si>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</si>
  <si>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</si>
  <si>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</si>
  <si>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</si>
  <si>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</si>
  <si>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</si>
  <si>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</si>
  <si>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</si>
  <si>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</si>
  <si>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</si>
  <si>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</si>
  <si>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</si>
  <si>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</si>
  <si>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</si>
  <si>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</si>
  <si>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</si>
  <si>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</si>
  <si>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</si>
  <si>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</si>
  <si>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</si>
  <si>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</si>
  <si>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</si>
  <si>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</si>
  <si>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</si>
  <si>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</si>
  <si>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</si>
  <si>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</si>
  <si>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</si>
  <si>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</si>
  <si>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</si>
  <si>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</si>
  <si>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</si>
  <si>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</si>
  <si>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</si>
  <si>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</si>
  <si>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</si>
  <si>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</si>
  <si>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</si>
  <si>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</si>
  <si>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</si>
  <si>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</si>
  <si>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</si>
  <si>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</si>
  <si>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</si>
  <si>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</si>
  <si>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</si>
  <si>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</si>
  <si>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</si>
  <si>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</si>
  <si>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</si>
  <si>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</si>
  <si>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</si>
  <si>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</si>
  <si>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</si>
  <si>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</si>
  <si>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</si>
  <si>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</si>
  <si>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</si>
  <si>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</si>
  <si>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</si>
  <si>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</si>
  <si>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</si>
  <si>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</si>
  <si>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</si>
  <si>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</si>
  <si>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</si>
  <si>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</si>
  <si>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</si>
  <si>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</si>
  <si>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</si>
  <si>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</si>
  <si>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</si>
  <si>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</si>
  <si>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</si>
  <si>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</si>
  <si>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</si>
  <si>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</si>
  <si>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</si>
  <si>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</si>
  <si>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</si>
  <si>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</si>
  <si>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</si>
  <si>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</si>
  <si>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</si>
  <si>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</si>
  <si>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</si>
  <si>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</si>
  <si>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</si>
  <si>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</si>
  <si>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</si>
  <si>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</si>
  <si>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</si>
  <si>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</si>
  <si>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</si>
  <si>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</si>
  <si>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</si>
  <si>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</si>
  <si>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</si>
  <si>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</si>
  <si>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</si>
  <si>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</si>
  <si>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</si>
  <si>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</si>
  <si>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</si>
  <si>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</si>
  <si>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</si>
  <si>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</si>
  <si>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</si>
  <si>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</si>
  <si>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</si>
  <si>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</si>
  <si>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</si>
  <si>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</si>
  <si>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</si>
  <si>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</si>
  <si>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</si>
  <si>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</si>
  <si>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</si>
  <si>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</si>
  <si>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</si>
  <si>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</si>
  <si>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</si>
  <si>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</si>
  <si>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</si>
  <si>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</si>
  <si>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</si>
  <si>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</si>
  <si>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</si>
  <si>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</si>
  <si>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</si>
  <si>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</si>
  <si>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</si>
  <si>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</si>
  <si>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</si>
  <si>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</si>
  <si>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</si>
  <si>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</si>
  <si>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</si>
  <si>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</si>
  <si>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</si>
  <si>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</si>
  <si>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</si>
  <si>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</si>
  <si>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</si>
  <si>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</si>
  <si>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</si>
  <si>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</si>
  <si>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</si>
  <si>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</si>
  <si>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</si>
  <si>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</si>
  <si>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</si>
  <si>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</si>
  <si>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</si>
  <si>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</si>
  <si>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</si>
  <si>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</si>
  <si>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</si>
  <si>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</si>
  <si>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</si>
  <si>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</si>
  <si>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</si>
  <si>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</si>
  <si>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</si>
  <si>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</si>
  <si>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</si>
  <si>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</si>
  <si>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</si>
  <si>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</si>
  <si>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</si>
  <si>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</si>
  <si>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</si>
  <si>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</si>
  <si>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</si>
  <si>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</si>
  <si>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</si>
  <si>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</si>
  <si>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</si>
  <si>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</si>
  <si>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</si>
  <si>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</si>
  <si>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</si>
  <si>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</si>
  <si>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</si>
  <si>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</si>
  <si>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</si>
  <si>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</si>
  <si>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</si>
  <si>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</si>
  <si>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</si>
  <si>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</si>
  <si>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</si>
  <si>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</si>
  <si>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</si>
  <si>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</si>
  <si>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</si>
  <si>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</si>
  <si>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</si>
  <si>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</si>
  <si>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</si>
  <si>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</si>
  <si>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</si>
  <si>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</si>
  <si>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</si>
  <si>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</si>
  <si>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</si>
  <si>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</si>
  <si>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</si>
  <si>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</si>
  <si>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</si>
  <si>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</si>
  <si>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</si>
  <si>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</si>
  <si>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</si>
  <si>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</si>
  <si>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</si>
  <si>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</si>
  <si>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</si>
  <si>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</si>
  <si>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</si>
  <si>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</si>
  <si>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</si>
  <si>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</si>
  <si>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</si>
  <si>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</si>
  <si>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</si>
  <si>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</si>
  <si>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</si>
  <si>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</si>
  <si>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</si>
  <si>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</si>
  <si>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</si>
  <si>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</si>
  <si>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</si>
  <si>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</si>
  <si>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</si>
  <si>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</si>
  <si>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</si>
  <si>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</si>
  <si>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</si>
  <si>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</si>
  <si>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</si>
  <si>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</si>
  <si>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</si>
  <si>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</si>
  <si>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</si>
  <si>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</si>
  <si>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</si>
  <si>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</si>
  <si>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</si>
  <si>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</si>
  <si>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</si>
  <si>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</si>
  <si>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</si>
  <si>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</si>
  <si>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</si>
  <si>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</si>
  <si>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</si>
  <si>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</si>
  <si>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</si>
  <si>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</si>
  <si>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</si>
  <si>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</si>
  <si>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</si>
  <si>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</si>
  <si>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</si>
  <si>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</si>
  <si>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</si>
  <si>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</si>
  <si>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</si>
  <si>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</si>
  <si>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</si>
  <si>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</si>
  <si>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</si>
  <si>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</si>
  <si>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</si>
  <si>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</si>
  <si>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</si>
  <si>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</si>
  <si>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</si>
  <si>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</si>
  <si>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</si>
  <si>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</si>
  <si>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</si>
  <si>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</si>
  <si>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</si>
  <si>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</si>
  <si>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</si>
  <si>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</si>
  <si>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</si>
  <si>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</si>
  <si>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</si>
  <si>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</si>
  <si>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</si>
  <si>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</si>
  <si>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</si>
  <si>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</si>
  <si>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</si>
  <si>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</si>
  <si>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</si>
  <si>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</si>
  <si>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</si>
  <si>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</si>
  <si>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</si>
  <si>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</si>
  <si>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</si>
  <si>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</si>
  <si>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</si>
  <si>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</si>
  <si>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</si>
  <si>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</si>
  <si>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</si>
  <si>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</si>
  <si>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</si>
  <si>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</si>
  <si>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</si>
  <si>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</si>
  <si>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</si>
  <si>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</si>
  <si>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</si>
  <si>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</si>
  <si>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</si>
  <si>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</si>
  <si>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</si>
  <si>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</si>
  <si>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</si>
  <si>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</si>
  <si>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</si>
  <si>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</si>
  <si>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</si>
  <si>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</si>
  <si>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</si>
  <si>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</si>
  <si>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</si>
  <si>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</si>
  <si>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</si>
  <si>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</si>
  <si>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</si>
  <si>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</si>
  <si>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</si>
  <si>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</si>
  <si>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</si>
  <si>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</si>
  <si>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</si>
  <si>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</si>
  <si>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</si>
  <si>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</si>
  <si>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</si>
  <si>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</si>
  <si>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</si>
  <si>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</si>
  <si>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</si>
  <si>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</si>
  <si>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</si>
  <si>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</si>
  <si>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</si>
  <si>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</si>
  <si>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</si>
  <si>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</si>
  <si>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</si>
  <si>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</si>
  <si>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</si>
  <si>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</si>
  <si>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</si>
  <si>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</si>
  <si>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</si>
  <si>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</si>
  <si>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</si>
  <si>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</si>
  <si>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</si>
  <si>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</si>
  <si>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</si>
  <si>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</si>
  <si>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</si>
  <si>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</si>
  <si>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</si>
  <si>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</si>
  <si>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</si>
  <si>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</si>
  <si>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</si>
  <si>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</si>
  <si>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</si>
  <si>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</si>
  <si>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</si>
  <si>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</si>
  <si>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</si>
  <si>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</si>
  <si>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</si>
  <si>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</si>
  <si>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</si>
  <si>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</si>
  <si>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</si>
  <si>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</si>
  <si>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</si>
  <si>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</si>
  <si>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</si>
  <si>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</si>
  <si>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</si>
  <si>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</si>
  <si>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</si>
  <si>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</si>
  <si>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</si>
  <si>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</si>
  <si>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</si>
  <si>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</si>
  <si>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</si>
  <si>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</si>
  <si>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</si>
  <si>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</si>
  <si>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</si>
  <si>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</si>
  <si>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</si>
  <si>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</si>
  <si>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</si>
  <si>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</si>
  <si>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</si>
  <si>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</si>
  <si>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</si>
  <si>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</si>
  <si>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</si>
  <si>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</si>
  <si>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</si>
  <si>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</si>
  <si>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</si>
  <si>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</si>
  <si>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</si>
  <si>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</si>
  <si>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</si>
  <si>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</si>
  <si>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</si>
  <si>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</si>
  <si>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</si>
  <si>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</si>
  <si>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</si>
  <si>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</si>
  <si>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</si>
  <si>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</si>
  <si>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</si>
  <si>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</si>
  <si>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</si>
  <si>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</si>
  <si>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</si>
  <si>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</si>
  <si>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</si>
  <si>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</si>
  <si>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</si>
  <si>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</si>
  <si>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</si>
  <si>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</si>
  <si>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</si>
  <si>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</si>
  <si>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</si>
  <si>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</si>
  <si>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</si>
  <si>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</si>
  <si>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</si>
  <si>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</si>
  <si>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</si>
  <si>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</si>
  <si>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</si>
  <si>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</si>
  <si>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</si>
  <si>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</si>
  <si>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</si>
  <si>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</si>
  <si>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</si>
  <si>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</si>
  <si>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</si>
  <si>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</si>
  <si>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</si>
  <si>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</si>
  <si>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</si>
  <si>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</si>
  <si>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</si>
  <si>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</si>
  <si>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</si>
  <si>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</si>
  <si>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</si>
  <si>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</si>
  <si>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</si>
  <si>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</si>
  <si>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</si>
  <si>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</si>
  <si>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</si>
  <si>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</si>
  <si>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</si>
  <si>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</si>
  <si>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</si>
  <si>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</si>
  <si>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</si>
  <si>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</si>
  <si>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</si>
  <si>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</si>
  <si>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</si>
  <si>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</si>
  <si>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</si>
  <si>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</si>
  <si>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</si>
  <si>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</si>
  <si>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</si>
  <si>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</si>
  <si>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</si>
  <si>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</si>
  <si>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</si>
  <si>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</si>
  <si>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</si>
  <si>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</si>
  <si>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</si>
  <si>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</si>
  <si>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</si>
  <si>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</si>
  <si>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</si>
  <si>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</si>
  <si>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</si>
  <si>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</si>
  <si>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</si>
  <si>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</si>
  <si>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</si>
  <si>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</si>
  <si>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</si>
  <si>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</si>
  <si>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</si>
  <si>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</si>
  <si>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</si>
  <si>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</si>
  <si>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</si>
  <si>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</si>
  <si>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</si>
  <si>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</si>
  <si>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</si>
  <si>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</si>
  <si>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</si>
  <si>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</si>
  <si>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</si>
  <si>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</si>
  <si>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</si>
  <si>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</si>
  <si>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</si>
  <si>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</si>
  <si>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</si>
  <si>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</si>
  <si>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</si>
  <si>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</si>
  <si>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</si>
  <si>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</si>
  <si>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</si>
  <si>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</si>
  <si>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</si>
  <si>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</si>
  <si>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</si>
  <si>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</si>
  <si>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</si>
  <si>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</si>
  <si>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</si>
  <si>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</si>
  <si>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</si>
  <si>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</si>
  <si>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</si>
  <si>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</si>
  <si>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</si>
  <si>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</si>
  <si>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</si>
  <si>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</si>
  <si>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</si>
  <si>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</si>
  <si>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</si>
  <si>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</si>
  <si>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</si>
  <si>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</si>
  <si>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</si>
  <si>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</si>
  <si>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</si>
  <si>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</si>
  <si>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</si>
  <si>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</si>
  <si>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</si>
  <si>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</si>
  <si>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</si>
  <si>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</si>
  <si>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</si>
  <si>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</si>
  <si>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</si>
  <si>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</si>
  <si>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</si>
  <si>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</si>
  <si>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</si>
  <si>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</si>
  <si>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</si>
  <si>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</si>
  <si>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</si>
  <si>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</si>
  <si>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</si>
  <si>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</si>
  <si>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</si>
  <si>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</si>
  <si>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</si>
  <si>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</si>
  <si>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</si>
  <si>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</si>
  <si>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</si>
  <si>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</si>
  <si>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</si>
  <si>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</si>
  <si>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</si>
  <si>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</si>
  <si>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</si>
  <si>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</si>
  <si>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</si>
  <si>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</si>
  <si>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</si>
  <si>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</si>
  <si>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</si>
  <si>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</si>
  <si>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</si>
  <si>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</si>
  <si>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</si>
  <si>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</si>
  <si>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</si>
  <si>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</si>
  <si>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</si>
  <si>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</si>
  <si>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</si>
  <si>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</si>
  <si>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</si>
  <si>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</si>
  <si>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</si>
  <si>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</si>
  <si>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</si>
  <si>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</si>
  <si>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</si>
  <si>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</si>
  <si>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</si>
  <si>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</si>
  <si>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</si>
  <si>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</si>
  <si>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</si>
  <si>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</si>
  <si>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</si>
  <si>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</si>
  <si>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</si>
  <si>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</si>
  <si>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</si>
  <si>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</si>
  <si>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</si>
  <si>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</si>
  <si>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</si>
  <si>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</si>
  <si>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</si>
  <si>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</si>
  <si>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</si>
  <si>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</si>
  <si>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</si>
  <si>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</si>
  <si>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</si>
  <si>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</si>
  <si>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</si>
  <si>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</si>
  <si>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</si>
  <si>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</si>
  <si>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</si>
  <si>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</si>
  <si>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</si>
  <si>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</si>
  <si>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</si>
  <si>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</si>
  <si>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</si>
  <si>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</si>
  <si>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</si>
  <si>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</si>
  <si>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</si>
  <si>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</si>
  <si>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</si>
  <si>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</si>
  <si>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</si>
  <si>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</si>
  <si>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</si>
  <si>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</si>
  <si>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</si>
  <si>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</si>
  <si>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</si>
  <si>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</si>
  <si>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</si>
  <si>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</si>
  <si>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</si>
  <si>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</si>
  <si>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</si>
  <si>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</si>
  <si>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</si>
  <si>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</si>
  <si>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</si>
  <si>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</si>
  <si>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</si>
  <si>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</si>
  <si>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</si>
  <si>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</si>
  <si>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</si>
  <si>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</si>
  <si>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</si>
  <si>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</si>
  <si>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</si>
  <si>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</si>
  <si>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</si>
  <si>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</si>
  <si>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</si>
  <si>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</si>
  <si>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</si>
  <si>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</si>
  <si>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</si>
  <si>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</si>
  <si>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</si>
  <si>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</si>
  <si>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</si>
  <si>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</si>
  <si>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</si>
  <si>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</si>
  <si>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</si>
  <si>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</si>
  <si>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</si>
  <si>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</si>
  <si>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</si>
  <si>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</si>
  <si>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</si>
  <si>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</si>
  <si>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</si>
  <si>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</si>
  <si>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</si>
  <si>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</si>
  <si>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</si>
  <si>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</si>
  <si>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</si>
  <si>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</si>
  <si>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</si>
  <si>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</si>
  <si>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</si>
  <si>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</si>
  <si>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</si>
  <si>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</si>
  <si>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</si>
  <si>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</si>
  <si>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</si>
  <si>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</si>
  <si>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</si>
  <si>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</si>
  <si>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</si>
  <si>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</si>
  <si>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</si>
  <si>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</si>
  <si>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</si>
  <si>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</si>
  <si>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</si>
  <si>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</si>
  <si>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</si>
  <si>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</si>
  <si>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</si>
  <si>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</si>
  <si>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</si>
  <si>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</si>
  <si>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</si>
  <si>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</si>
  <si>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</si>
  <si>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</si>
  <si>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</si>
  <si>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</si>
  <si>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</si>
  <si>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</si>
  <si>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</si>
  <si>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</si>
  <si>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</si>
  <si>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</si>
  <si>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</si>
  <si>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</si>
  <si>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</si>
  <si>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</si>
  <si>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</si>
  <si>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</si>
  <si>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</si>
  <si>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</si>
  <si>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</si>
  <si>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</si>
  <si>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</si>
  <si>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</si>
  <si>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</si>
  <si>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</si>
  <si>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</si>
  <si>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</si>
  <si>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</si>
  <si>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</si>
  <si>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</si>
  <si>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</si>
  <si>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</si>
  <si>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</si>
  <si>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</si>
  <si>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</si>
  <si>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</si>
  <si>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</si>
  <si>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</si>
  <si>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</si>
  <si>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</si>
  <si>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</si>
  <si>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</si>
  <si>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</si>
  <si>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</si>
  <si>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</si>
  <si>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</si>
  <si>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</si>
  <si>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</si>
  <si>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</si>
  <si>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</si>
  <si>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</si>
  <si>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</si>
  <si>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</si>
  <si>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</si>
  <si>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</si>
  <si>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</si>
  <si>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</si>
  <si>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</si>
  <si>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</si>
  <si>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</si>
  <si>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</si>
  <si>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</si>
  <si>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</si>
  <si>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</si>
  <si>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</si>
  <si>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</si>
  <si>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</si>
  <si>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</si>
  <si>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</si>
  <si>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</si>
  <si>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</si>
  <si>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</si>
  <si>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</si>
  <si>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</si>
  <si>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</si>
  <si>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</si>
  <si>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</si>
  <si>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</si>
  <si>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</si>
  <si>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</si>
  <si>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</si>
  <si>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</si>
  <si>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</si>
  <si>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</si>
  <si>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</si>
  <si>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</si>
  <si>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</si>
  <si>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</si>
  <si>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</si>
  <si>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</si>
  <si>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</si>
  <si>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</si>
  <si>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</si>
  <si>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</si>
  <si>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</si>
  <si>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</si>
  <si>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</si>
  <si>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</si>
  <si>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</si>
  <si>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</si>
  <si>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</si>
  <si>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</si>
  <si>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</si>
  <si>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</si>
  <si>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</si>
  <si>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</si>
  <si>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</si>
  <si>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</si>
  <si>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</si>
  <si>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</si>
  <si>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</si>
  <si>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</si>
  <si>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</si>
  <si>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</si>
  <si>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</si>
  <si>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</si>
  <si>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</si>
  <si>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</si>
  <si>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</si>
  <si>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</si>
  <si>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</si>
  <si>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</si>
  <si>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</si>
  <si>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</si>
  <si>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</si>
  <si>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</si>
  <si>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</si>
  <si>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</si>
  <si>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</si>
  <si>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</si>
  <si>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</si>
  <si>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</si>
  <si>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</si>
  <si>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</si>
  <si>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</si>
  <si>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</si>
  <si>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</si>
  <si>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</si>
  <si>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</si>
  <si>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</si>
  <si>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</si>
  <si>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</si>
  <si>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</si>
  <si>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</si>
  <si>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</si>
  <si>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</si>
  <si>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</si>
  <si>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</si>
  <si>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</si>
  <si>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</si>
  <si>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</si>
  <si>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</si>
  <si>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</si>
  <si>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</si>
  <si>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</si>
  <si>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</si>
  <si>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</si>
  <si>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</si>
  <si>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</si>
  <si>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</si>
  <si>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</si>
  <si>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</si>
  <si>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</si>
  <si>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</si>
  <si>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</si>
  <si>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</si>
  <si>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</si>
  <si>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</si>
  <si>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</si>
  <si>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</si>
  <si>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</si>
  <si>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</si>
  <si>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</si>
  <si>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</si>
  <si>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</si>
  <si>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</si>
  <si>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</si>
  <si>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</si>
  <si>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</si>
  <si>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</si>
  <si>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</si>
  <si>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</si>
  <si>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</si>
  <si>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</si>
  <si>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</si>
  <si>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</si>
  <si>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</si>
  <si>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</si>
  <si>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</si>
  <si>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</si>
  <si>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</si>
  <si>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</si>
  <si>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</si>
  <si>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</si>
  <si>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</si>
  <si>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</si>
  <si>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</si>
  <si>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</si>
  <si>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</si>
  <si>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</si>
  <si>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</si>
  <si>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</si>
  <si>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</si>
  <si>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</si>
  <si>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</si>
  <si>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</si>
  <si>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</si>
  <si>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</si>
  <si>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</si>
  <si>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</si>
  <si>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</si>
  <si>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</si>
  <si>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</si>
  <si>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</si>
  <si>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</si>
  <si>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</si>
  <si>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</si>
  <si>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</si>
  <si>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</si>
  <si>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</si>
  <si>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</si>
  <si>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</si>
  <si>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</si>
  <si>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</si>
  <si>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</si>
  <si>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</si>
  <si>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</si>
  <si>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</si>
  <si>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</si>
  <si>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</si>
  <si>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</si>
  <si>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</si>
  <si>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</si>
  <si>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</si>
  <si>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</si>
  <si>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</si>
  <si>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</si>
  <si>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</si>
  <si>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</si>
  <si>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</si>
  <si>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</si>
  <si>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</si>
  <si>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</si>
  <si>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</si>
  <si>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</si>
  <si>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</si>
  <si>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</si>
  <si>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</si>
  <si>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</si>
  <si>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</si>
  <si>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</si>
  <si>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</si>
  <si>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</si>
  <si>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</si>
  <si>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</si>
  <si>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</si>
  <si>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</si>
  <si>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</si>
  <si>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</si>
  <si>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</si>
  <si>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</si>
  <si>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</si>
  <si>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</si>
  <si>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</si>
  <si>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</si>
  <si>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</si>
  <si>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</si>
  <si>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</si>
  <si>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</si>
  <si>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</si>
  <si>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</si>
  <si>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</si>
  <si>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</si>
  <si>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</si>
  <si>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</si>
  <si>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</si>
  <si>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</si>
  <si>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</si>
  <si>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</si>
  <si>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</si>
  <si>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</si>
  <si>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</si>
  <si>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</si>
  <si>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</si>
  <si>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</si>
  <si>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</si>
  <si>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</si>
  <si>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</si>
  <si>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</si>
  <si>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</si>
  <si>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</si>
  <si>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</si>
  <si>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</si>
  <si>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</si>
  <si>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</si>
  <si>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</si>
  <si>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</si>
  <si>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</si>
  <si>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</si>
  <si>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</si>
  <si>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</si>
  <si>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</si>
  <si>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</si>
  <si>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</si>
  <si>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</si>
  <si>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</si>
  <si>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</si>
  <si>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</si>
  <si>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</si>
  <si>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</si>
  <si>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</si>
  <si>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</si>
  <si>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</si>
  <si>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</si>
  <si>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</si>
  <si>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</si>
  <si>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</si>
  <si>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</si>
  <si>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</si>
  <si>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</si>
  <si>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</si>
  <si>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</si>
  <si>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</si>
  <si>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</si>
  <si>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</si>
  <si>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</si>
  <si>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</si>
  <si>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</si>
  <si>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</si>
  <si>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</si>
  <si>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</si>
  <si>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</si>
  <si>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</si>
  <si>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</si>
  <si>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</si>
  <si>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</si>
  <si>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</si>
  <si>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</si>
  <si>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</si>
  <si>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</si>
  <si>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</si>
  <si>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</si>
  <si>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</si>
  <si>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</si>
  <si>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</si>
  <si>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</si>
  <si>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</si>
  <si>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</si>
  <si>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</si>
  <si>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</si>
  <si>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</si>
  <si>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</si>
  <si>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</si>
  <si>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</si>
  <si>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</si>
  <si>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</si>
  <si>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</si>
  <si>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</si>
  <si>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</si>
  <si>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</si>
  <si>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</si>
  <si>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</si>
  <si>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</si>
  <si>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</si>
  <si>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</si>
  <si>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</si>
  <si>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</si>
  <si>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</si>
  <si>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</si>
  <si>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</si>
  <si>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</si>
  <si>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</si>
  <si>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</si>
  <si>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</si>
  <si>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</si>
  <si>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</si>
  <si>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</si>
  <si>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</si>
  <si>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</si>
  <si>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</si>
  <si>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</si>
  <si>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</si>
  <si>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</si>
  <si>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</si>
  <si>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</si>
  <si>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</si>
  <si>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</si>
  <si>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</si>
  <si>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</si>
  <si>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</si>
  <si>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</si>
  <si>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</si>
  <si>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</si>
  <si>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</si>
  <si>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</si>
  <si>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</si>
  <si>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</si>
  <si>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</si>
  <si>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</si>
  <si>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</si>
  <si>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</si>
  <si>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</si>
  <si>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</si>
  <si>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</si>
  <si>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</si>
  <si>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</si>
  <si>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</si>
  <si>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</si>
  <si>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</si>
  <si>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</si>
  <si>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</si>
  <si>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</si>
  <si>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</si>
  <si>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</si>
  <si>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</si>
  <si>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</si>
  <si>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</si>
  <si>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</si>
  <si>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</si>
  <si>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</si>
  <si>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</si>
  <si>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</si>
  <si>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</si>
  <si>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</si>
  <si>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</si>
  <si>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</si>
  <si>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</si>
  <si>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</si>
  <si>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</si>
  <si>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</si>
  <si>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</si>
  <si>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</si>
  <si>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</si>
  <si>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</si>
  <si>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</si>
  <si>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</si>
  <si>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</si>
  <si>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</si>
  <si>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</si>
  <si>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</si>
  <si>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</si>
  <si>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</si>
  <si>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</si>
  <si>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</si>
  <si>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</si>
  <si>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</si>
  <si>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</si>
  <si>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</si>
  <si>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</si>
  <si>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</si>
  <si>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</si>
  <si>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</si>
  <si>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</si>
  <si>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</si>
  <si>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</si>
  <si>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</si>
  <si>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</si>
  <si>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</si>
  <si>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</si>
  <si>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</si>
  <si>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</si>
  <si>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</si>
  <si>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</si>
  <si>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</si>
  <si>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</si>
  <si>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</si>
  <si>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</si>
  <si>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</si>
  <si>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</si>
  <si>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</si>
  <si>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</si>
  <si>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</si>
  <si>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</si>
  <si>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</si>
  <si>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</si>
  <si>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</si>
  <si>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</si>
  <si>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</si>
  <si>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</si>
  <si>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</si>
  <si>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</si>
  <si>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</si>
  <si>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</si>
  <si>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</si>
  <si>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</si>
  <si>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</si>
  <si>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</si>
  <si>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</si>
  <si>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</si>
  <si>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</si>
  <si>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</si>
  <si>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</si>
  <si>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</si>
  <si>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</si>
  <si>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</si>
  <si>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</si>
  <si>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</si>
  <si>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</si>
  <si>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</si>
  <si>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</si>
  <si>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</si>
  <si>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</si>
  <si>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</si>
  <si>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</si>
  <si>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</si>
  <si>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</si>
  <si>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</si>
  <si>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</si>
  <si>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</si>
  <si>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</si>
  <si>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</si>
  <si>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</si>
  <si>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</si>
  <si>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</si>
  <si>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</si>
  <si>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</si>
  <si>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</si>
  <si>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</si>
  <si>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</si>
  <si>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</si>
  <si>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</si>
  <si>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</si>
  <si>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</si>
  <si>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</si>
  <si>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</si>
  <si>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</si>
  <si>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</si>
  <si>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</si>
  <si>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</si>
  <si>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</si>
  <si>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</si>
  <si>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</si>
  <si>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</si>
  <si>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</si>
  <si>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</si>
  <si>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</si>
  <si>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</si>
  <si>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</si>
  <si>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</si>
  <si>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</si>
  <si>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</si>
  <si>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</si>
  <si>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</si>
  <si>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</si>
  <si>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</si>
  <si>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</si>
  <si>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</si>
  <si>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</si>
  <si>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</si>
  <si>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</si>
  <si>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</si>
  <si>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</si>
  <si>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</si>
  <si>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</si>
  <si>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</si>
  <si>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</si>
  <si>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</si>
  <si>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</si>
  <si>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</si>
  <si>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</si>
  <si>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</si>
  <si>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</si>
  <si>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</si>
  <si>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</si>
  <si>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</si>
  <si>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</si>
  <si>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</si>
  <si>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</si>
  <si>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</si>
  <si>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</si>
  <si>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</si>
  <si>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</si>
  <si>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</si>
  <si>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</si>
  <si>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</si>
  <si>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</si>
  <si>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</si>
  <si>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</si>
  <si>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</si>
  <si>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</si>
  <si>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</si>
  <si>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</si>
  <si>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</si>
  <si>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</si>
  <si>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</si>
  <si>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</si>
  <si>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</si>
  <si>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</si>
  <si>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</si>
  <si>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</si>
  <si>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</si>
  <si>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</si>
  <si>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</si>
  <si>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</si>
  <si>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</si>
  <si>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</si>
  <si>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</si>
  <si>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</si>
  <si>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</si>
  <si>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</si>
  <si>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</si>
  <si>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</si>
  <si>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</si>
  <si>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</si>
  <si>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</si>
  <si>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</si>
  <si>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</si>
  <si>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</si>
  <si>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</si>
  <si>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</si>
  <si>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</si>
  <si>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</si>
  <si>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</si>
  <si>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</si>
  <si>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</si>
  <si>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</si>
  <si>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</si>
  <si>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</si>
  <si>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</si>
  <si>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</si>
  <si>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</si>
  <si>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</si>
  <si>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</si>
  <si>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</si>
  <si>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</si>
  <si>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</si>
  <si>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</si>
  <si>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</si>
  <si>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</si>
  <si>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</si>
  <si>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</si>
  <si>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</si>
  <si>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</si>
  <si>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</si>
  <si>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</si>
  <si>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</si>
  <si>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</si>
  <si>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</si>
  <si>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</si>
  <si>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</si>
  <si>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</si>
  <si>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</si>
  <si>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</si>
  <si>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</si>
  <si>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</si>
  <si>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</si>
  <si>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</si>
  <si>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</si>
  <si>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</si>
  <si>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</si>
  <si>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</si>
  <si>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</si>
  <si>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</si>
  <si>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</si>
  <si>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</si>
  <si>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</si>
  <si>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</si>
  <si>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</si>
  <si>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</si>
  <si>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</si>
  <si>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</si>
  <si>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</si>
  <si>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</si>
  <si>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</si>
  <si>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</si>
  <si>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</si>
  <si>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</si>
  <si>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</si>
  <si>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</si>
  <si>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</si>
  <si>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</si>
  <si>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</si>
  <si>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</si>
  <si>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</si>
  <si>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</si>
  <si>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</si>
  <si>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</si>
  <si>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</si>
  <si>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</si>
  <si>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</si>
  <si>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</si>
  <si>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</si>
  <si>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</si>
  <si>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</si>
  <si>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</si>
  <si>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</si>
  <si>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</si>
  <si>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</si>
  <si>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</si>
  <si>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</si>
  <si>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</si>
  <si>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</si>
  <si>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</si>
  <si>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</si>
  <si>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</si>
  <si>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</si>
  <si>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</si>
  <si>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</si>
  <si>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</si>
  <si>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</si>
  <si>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</si>
  <si>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</si>
  <si>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</si>
  <si>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</si>
  <si>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</si>
  <si>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</si>
  <si>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</si>
  <si>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</si>
  <si>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</si>
  <si>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</si>
  <si>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</si>
  <si>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</si>
  <si>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</si>
  <si>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</si>
  <si>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</si>
  <si>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</si>
  <si>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</si>
  <si>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</si>
  <si>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</si>
  <si>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</si>
  <si>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</si>
  <si>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</si>
  <si>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</si>
  <si>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</si>
  <si>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</si>
  <si>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</si>
  <si>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</si>
  <si>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</si>
  <si>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</si>
  <si>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</si>
  <si>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</si>
  <si>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</si>
  <si>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</si>
  <si>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</si>
  <si>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</si>
  <si>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</si>
  <si>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</si>
  <si>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</si>
  <si>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</si>
  <si>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</si>
  <si>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</si>
  <si>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</si>
  <si>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</si>
  <si>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</si>
  <si>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</si>
  <si>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</si>
  <si>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</si>
  <si>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</si>
  <si>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</si>
  <si>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</si>
  <si>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</si>
  <si>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</si>
  <si>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</si>
  <si>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</si>
  <si>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</si>
  <si>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</si>
  <si>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</si>
  <si>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</si>
  <si>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</si>
  <si>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</si>
  <si>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</si>
  <si>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</si>
  <si>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</si>
  <si>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</si>
  <si>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</si>
  <si>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</si>
  <si>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</si>
  <si>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</si>
  <si>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</si>
  <si>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</si>
  <si>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</si>
  <si>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</si>
  <si>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</si>
  <si>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</si>
  <si>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</si>
  <si>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</si>
  <si>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</si>
  <si>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</si>
  <si>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</si>
  <si>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</si>
  <si>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</si>
  <si>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</si>
  <si>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</si>
  <si>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</si>
  <si>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</si>
  <si>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</si>
  <si>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</si>
  <si>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</si>
  <si>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</si>
  <si>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</si>
  <si>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</si>
  <si>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</si>
  <si>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</si>
  <si>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</si>
  <si>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</si>
  <si>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</si>
  <si>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</si>
  <si>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</si>
  <si>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</si>
  <si>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</si>
  <si>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</si>
  <si>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</si>
  <si>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</si>
  <si>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</si>
  <si>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</si>
  <si>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</si>
  <si>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</si>
  <si>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</si>
  <si>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</si>
  <si>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</si>
  <si>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</si>
  <si>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</si>
  <si>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</si>
  <si>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</si>
  <si>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</si>
  <si>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</si>
  <si>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</si>
  <si>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</si>
  <si>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</si>
  <si>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</si>
  <si>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</si>
  <si>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</si>
  <si>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</si>
  <si>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</si>
  <si>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</si>
  <si>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</si>
  <si>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</si>
  <si>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</si>
  <si>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</si>
  <si>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</si>
  <si>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</si>
  <si>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</si>
  <si>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</si>
  <si>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</si>
  <si>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</si>
  <si>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</si>
  <si>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</si>
  <si>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</si>
  <si>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</si>
  <si>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</si>
  <si>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</si>
  <si>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</si>
  <si>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</si>
  <si>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</si>
  <si>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</si>
  <si>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</si>
  <si>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</si>
  <si>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</si>
  <si>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</si>
  <si>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</si>
  <si>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</si>
  <si>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</si>
  <si>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</si>
  <si>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</si>
  <si>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</si>
  <si>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</si>
  <si>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</si>
  <si>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</si>
  <si>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</si>
  <si>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</si>
  <si>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</si>
  <si>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</si>
  <si>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</si>
  <si>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</si>
  <si>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</si>
  <si>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</si>
  <si>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</si>
  <si>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</si>
  <si>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</si>
  <si>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</si>
  <si>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</si>
  <si>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</si>
  <si>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</si>
  <si>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</si>
  <si>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</si>
  <si>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</si>
  <si>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</si>
  <si>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</si>
  <si>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</si>
  <si>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</si>
  <si>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</si>
  <si>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</si>
  <si>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</si>
  <si>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</si>
  <si>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</si>
  <si>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</si>
  <si>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</si>
  <si>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</si>
  <si>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</si>
  <si>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</si>
  <si>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</si>
  <si>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</si>
  <si>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</si>
  <si>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</si>
  <si>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</si>
  <si>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</si>
  <si>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</si>
  <si>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</si>
  <si>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</si>
  <si>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</si>
  <si>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</si>
  <si>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</si>
  <si>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</si>
  <si>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</si>
  <si>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</si>
  <si>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</si>
  <si>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</si>
  <si>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</si>
  <si>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</si>
  <si>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</si>
  <si>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</si>
  <si>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</si>
  <si>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</si>
  <si>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</si>
  <si>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</si>
  <si>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</si>
  <si>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</si>
  <si>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</si>
  <si>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</si>
  <si>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</si>
  <si>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</si>
  <si>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</si>
  <si>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</si>
  <si>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</si>
  <si>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</si>
  <si>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</si>
  <si>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</si>
  <si>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</si>
  <si>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</si>
  <si>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</si>
  <si>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</si>
  <si>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</si>
  <si>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</si>
  <si>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</si>
  <si>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</si>
  <si>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</si>
  <si>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</si>
  <si>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</si>
  <si>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</si>
  <si>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</si>
  <si>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</si>
  <si>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</si>
  <si>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</si>
  <si>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</si>
  <si>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</si>
  <si>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</si>
  <si>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</si>
  <si>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</si>
  <si>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</si>
  <si>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</si>
  <si>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</si>
  <si>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</si>
  <si>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</si>
  <si>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</si>
  <si>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</si>
  <si>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</si>
  <si>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</si>
  <si>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</si>
  <si>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</si>
  <si>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</si>
  <si>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</si>
  <si>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</si>
  <si>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</si>
  <si>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</si>
  <si>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</si>
  <si>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</si>
  <si>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</si>
  <si>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</si>
  <si>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</si>
  <si>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</si>
  <si>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</si>
  <si>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</si>
  <si>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</si>
  <si>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</si>
  <si>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</si>
  <si>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</si>
  <si>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</si>
  <si>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</si>
  <si>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</si>
  <si>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</si>
  <si>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</si>
  <si>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</si>
  <si>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</si>
  <si>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</si>
  <si>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</si>
  <si>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</si>
  <si>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</si>
  <si>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</si>
  <si>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</si>
  <si>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</si>
  <si>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</si>
  <si>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</si>
  <si>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</si>
  <si>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</si>
  <si>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</si>
  <si>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</si>
  <si>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</si>
  <si>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</si>
  <si>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</si>
  <si>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</si>
  <si>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</si>
  <si>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</si>
  <si>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</si>
  <si>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</si>
  <si>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</si>
  <si>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</si>
  <si>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</si>
  <si>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</si>
  <si>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</si>
  <si>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</si>
  <si>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</si>
  <si>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</si>
  <si>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</si>
  <si>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</si>
  <si>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</si>
  <si>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</si>
  <si>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</si>
  <si>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</si>
  <si>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</si>
  <si>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</si>
  <si>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</si>
  <si>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</si>
  <si>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</si>
  <si>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</si>
  <si>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</si>
  <si>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</si>
  <si>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</si>
  <si>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</si>
  <si>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</si>
  <si>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</si>
  <si>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</si>
  <si>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</si>
  <si>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</si>
  <si>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</si>
  <si>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</si>
  <si>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</si>
  <si>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</si>
  <si>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</si>
  <si>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</si>
  <si>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</si>
  <si>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</si>
  <si>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</si>
  <si>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</si>
  <si>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</si>
  <si>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</si>
  <si>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</si>
  <si>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</si>
  <si>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</si>
  <si>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</si>
  <si>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</si>
  <si>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</si>
  <si>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</si>
  <si>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</si>
  <si>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</si>
  <si>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</si>
  <si>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</si>
  <si>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</si>
  <si>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</si>
  <si>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</si>
  <si>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</si>
  <si>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</si>
  <si>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</si>
  <si>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</si>
  <si>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</si>
  <si>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</si>
  <si>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</si>
  <si>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</si>
  <si>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</si>
  <si>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</si>
  <si>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</si>
  <si>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</si>
  <si>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</si>
  <si>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</si>
  <si>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</si>
  <si>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</si>
  <si>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</si>
  <si>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</si>
  <si>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</si>
  <si>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</si>
  <si>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</si>
  <si>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</si>
  <si>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</si>
  <si>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</si>
  <si>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</si>
  <si>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</si>
  <si>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</si>
  <si>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</si>
  <si>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</si>
  <si>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</si>
  <si>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</si>
  <si>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</si>
  <si>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</si>
  <si>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</si>
  <si>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</si>
  <si>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</si>
  <si>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</si>
  <si>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</si>
  <si>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</si>
  <si>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</si>
  <si>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</si>
  <si>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</si>
  <si>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</si>
  <si>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</si>
  <si>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</si>
  <si>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</si>
  <si>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</si>
  <si>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</si>
  <si>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</si>
  <si>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</si>
  <si>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</si>
  <si>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</si>
  <si>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</si>
  <si>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</si>
  <si>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</si>
  <si>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</si>
  <si>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</si>
  <si>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</si>
  <si>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</si>
  <si>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</si>
  <si>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</si>
  <si>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</si>
  <si>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</si>
  <si>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</si>
  <si>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</si>
  <si>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</si>
  <si>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</si>
  <si>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</si>
  <si>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</si>
  <si>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</si>
  <si>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</si>
  <si>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</si>
  <si>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</si>
  <si>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</si>
  <si>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</si>
  <si>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</si>
  <si>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</si>
  <si>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</si>
  <si>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</si>
  <si>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</si>
  <si>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</si>
  <si>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</si>
  <si>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</si>
  <si>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</si>
  <si>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</si>
  <si>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</si>
  <si>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</si>
  <si>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</si>
  <si>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</si>
  <si>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</si>
  <si>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</si>
  <si>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</si>
  <si>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</si>
  <si>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</si>
  <si>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</si>
  <si>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</si>
  <si>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</si>
  <si>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</si>
  <si>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</si>
  <si>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</si>
  <si>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</si>
  <si>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</si>
  <si>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</si>
  <si>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</si>
  <si>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</si>
  <si>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</si>
  <si>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</si>
  <si>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</si>
  <si>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</si>
  <si>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</si>
  <si>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</si>
  <si>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</si>
  <si>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</si>
  <si>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</si>
  <si>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</si>
  <si>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</si>
  <si>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</si>
  <si>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</si>
  <si>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</si>
  <si>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</si>
  <si>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</si>
  <si>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</si>
  <si>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</si>
  <si>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</si>
  <si>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</si>
  <si>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</si>
  <si>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</si>
  <si>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</si>
  <si>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</si>
  <si>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</si>
  <si>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</si>
  <si>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</si>
  <si>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</si>
  <si>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</si>
  <si>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</si>
  <si>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</si>
  <si>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</si>
  <si>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</si>
  <si>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</si>
  <si>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</si>
  <si>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</si>
  <si>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</si>
  <si>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</si>
  <si>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</si>
  <si>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</si>
  <si>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</si>
  <si>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</si>
  <si>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</si>
  <si>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</si>
  <si>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</si>
  <si>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</si>
  <si>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</si>
  <si>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</si>
  <si>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</si>
  <si>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</si>
  <si>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</si>
  <si>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</si>
  <si>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</si>
  <si>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</si>
  <si>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</si>
  <si>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</si>
  <si>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</si>
  <si>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</si>
  <si>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</si>
  <si>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</si>
  <si>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</si>
  <si>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</si>
  <si>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</si>
  <si>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</si>
  <si>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</si>
  <si>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</si>
  <si>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</si>
  <si>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</si>
  <si>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</si>
  <si>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</si>
  <si>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</si>
  <si>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</si>
  <si>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</si>
  <si>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</si>
  <si>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</si>
  <si>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</si>
  <si>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</si>
  <si>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</si>
  <si>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</si>
  <si>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</si>
  <si>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</si>
  <si>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</si>
  <si>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</si>
  <si>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</si>
  <si>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</si>
  <si>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</si>
  <si>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</si>
  <si>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</si>
  <si>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</si>
  <si>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</si>
  <si>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</si>
  <si>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</si>
  <si>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</si>
  <si>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</si>
  <si>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</si>
  <si>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</si>
  <si>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</si>
  <si>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</si>
  <si>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</si>
  <si>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</si>
  <si>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</si>
  <si>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</si>
  <si>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</si>
  <si>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</si>
  <si>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</si>
  <si>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</si>
  <si>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</si>
  <si>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</si>
  <si>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</si>
  <si>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</si>
  <si>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</si>
  <si>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</si>
  <si>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</si>
  <si>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</si>
  <si>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</si>
  <si>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</si>
  <si>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</si>
  <si>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</si>
  <si>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</si>
  <si>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</si>
  <si>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</si>
  <si>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</si>
  <si>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</si>
  <si>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</si>
  <si>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</si>
  <si>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</si>
  <si>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</si>
  <si>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</si>
  <si>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</si>
  <si>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</si>
  <si>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</si>
  <si>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</si>
  <si>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</si>
  <si>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</si>
  <si>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</si>
  <si>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</si>
  <si>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</si>
  <si>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</si>
  <si>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</si>
  <si>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</si>
  <si>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</si>
  <si>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</si>
  <si>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</si>
  <si>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</si>
  <si>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</si>
  <si>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</si>
  <si>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</si>
  <si>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</si>
  <si>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</si>
  <si>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</si>
  <si>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</si>
  <si>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</si>
  <si>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</si>
  <si>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</si>
  <si>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</si>
  <si>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</si>
  <si>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</si>
  <si>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</si>
  <si>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</si>
  <si>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</si>
  <si>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</si>
  <si>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</si>
  <si>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</si>
  <si>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</si>
  <si>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</si>
  <si>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</si>
  <si>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</si>
  <si>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</si>
  <si>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</si>
  <si>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</si>
  <si>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</si>
  <si>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</si>
  <si>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</si>
  <si>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</si>
  <si>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</si>
  <si>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</si>
  <si>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</si>
  <si>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</si>
  <si>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</si>
  <si>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</si>
  <si>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</si>
  <si>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</si>
  <si>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</si>
  <si>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</si>
  <si>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</si>
  <si>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</si>
  <si>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</si>
  <si>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</si>
  <si>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</si>
  <si>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</si>
  <si>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</si>
  <si>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</si>
  <si>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</si>
  <si>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</si>
  <si>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</si>
  <si>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</si>
  <si>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</si>
  <si>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</si>
  <si>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</si>
  <si>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</si>
  <si>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</si>
  <si>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</si>
  <si>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</si>
  <si>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</si>
  <si>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</si>
  <si>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</si>
  <si>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</si>
  <si>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</si>
  <si>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</si>
  <si>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</si>
  <si>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</si>
  <si>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</si>
  <si>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</si>
  <si>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</si>
  <si>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</si>
  <si>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</si>
  <si>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</si>
  <si>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</si>
  <si>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</si>
  <si>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</si>
  <si>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</si>
  <si>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</si>
  <si>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</si>
  <si>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</si>
  <si>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</si>
  <si>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</si>
  <si>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</si>
  <si>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</si>
  <si>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</si>
  <si>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</si>
  <si>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</si>
  <si>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</si>
  <si>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</si>
  <si>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</si>
  <si>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</si>
  <si>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</si>
  <si>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</si>
  <si>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</si>
  <si>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</si>
  <si>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</si>
  <si>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</si>
  <si>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</si>
  <si>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</si>
  <si>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</si>
  <si>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</si>
  <si>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</si>
  <si>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</si>
  <si>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</si>
  <si>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</si>
  <si>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</si>
  <si>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</si>
  <si>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</si>
  <si>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</si>
  <si>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</si>
  <si>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</si>
  <si>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</si>
  <si>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</si>
  <si>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</si>
  <si>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</si>
  <si>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</si>
  <si>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</si>
  <si>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</si>
  <si>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</si>
  <si>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</si>
  <si>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</si>
  <si>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</si>
  <si>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</si>
  <si>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</si>
  <si>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</si>
  <si>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</si>
  <si>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</si>
  <si>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</si>
  <si>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</si>
  <si>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</si>
  <si>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</si>
  <si>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</si>
  <si>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</si>
  <si>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</si>
  <si>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</si>
  <si>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</si>
  <si>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</si>
  <si>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</si>
  <si>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</si>
  <si>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</si>
  <si>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</si>
  <si>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</si>
  <si>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</si>
  <si>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</si>
  <si>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</si>
  <si>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</si>
  <si>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</si>
  <si>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</si>
  <si>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</si>
  <si>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</si>
  <si>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</si>
  <si>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</si>
  <si>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</si>
  <si>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</si>
  <si>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</si>
  <si>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</si>
  <si>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</si>
  <si>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</si>
  <si>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</si>
  <si>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</si>
  <si>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</si>
  <si>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</si>
  <si>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</si>
  <si>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</si>
  <si>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</si>
  <si>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</si>
  <si>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</si>
  <si>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</si>
  <si>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</si>
  <si>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</si>
  <si>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</si>
  <si>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</si>
  <si>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</si>
  <si>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</si>
  <si>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</si>
  <si>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</si>
  <si>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</si>
  <si>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</si>
  <si>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</si>
  <si>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</si>
  <si>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</si>
  <si>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</si>
  <si>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</si>
  <si>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</si>
  <si>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</si>
  <si>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</si>
  <si>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</si>
  <si>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</si>
  <si>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</si>
  <si>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</si>
  <si>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</si>
  <si>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</si>
  <si>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</si>
  <si>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</si>
  <si>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</si>
  <si>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</si>
  <si>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</si>
  <si>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</si>
  <si>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</si>
  <si>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</si>
  <si>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</si>
  <si>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</si>
  <si>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</si>
  <si>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</si>
  <si>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</si>
  <si>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</si>
  <si>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</si>
  <si>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</si>
  <si>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</si>
  <si>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</si>
  <si>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</si>
  <si>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</si>
  <si>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</si>
  <si>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</si>
  <si>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</si>
  <si>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</si>
  <si>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</si>
  <si>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</si>
  <si>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</si>
  <si>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</si>
  <si>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</si>
  <si>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</si>
  <si>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</si>
  <si>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</si>
  <si>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</si>
  <si>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</si>
  <si>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</si>
  <si>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</si>
  <si>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</si>
  <si>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</si>
  <si>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</si>
  <si>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</si>
  <si>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</si>
  <si>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</si>
  <si>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</si>
  <si>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</si>
  <si>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</si>
  <si>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</si>
  <si>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</si>
  <si>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</si>
  <si>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</si>
  <si>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</si>
  <si>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</si>
  <si>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</si>
  <si>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</si>
  <si>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</si>
  <si>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</si>
  <si>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</si>
  <si>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</si>
  <si>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</si>
  <si>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</si>
  <si>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</si>
  <si>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</si>
  <si>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</si>
  <si>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</si>
  <si>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</si>
  <si>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</si>
  <si>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</si>
  <si>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</si>
  <si>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</si>
  <si>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</si>
  <si>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</si>
  <si>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</si>
  <si>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</si>
  <si>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</si>
  <si>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</si>
  <si>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</si>
  <si>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</si>
  <si>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</si>
  <si>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</si>
  <si>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</si>
  <si>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</si>
  <si>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</si>
  <si>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</si>
  <si>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</si>
  <si>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</si>
  <si>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</si>
  <si>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</si>
  <si>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</si>
  <si>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</si>
  <si>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</si>
  <si>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</si>
  <si>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</si>
  <si>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</si>
  <si>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</si>
  <si>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</si>
  <si>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</si>
  <si>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</si>
  <si>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</si>
  <si>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</si>
  <si>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</si>
  <si>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</si>
  <si>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</si>
  <si>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</si>
  <si>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</si>
  <si>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</si>
  <si>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</si>
  <si>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</si>
  <si>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</si>
  <si>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</si>
  <si>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</si>
  <si>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</si>
  <si>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</si>
  <si>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</si>
  <si>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</si>
  <si>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</si>
  <si>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</si>
  <si>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</si>
  <si>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</si>
  <si>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</si>
  <si>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</si>
  <si>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</si>
  <si>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</si>
  <si>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</si>
  <si>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</si>
  <si>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</si>
  <si>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</si>
  <si>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</si>
  <si>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</si>
  <si>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</si>
  <si>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</si>
  <si>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</si>
  <si>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</si>
  <si>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</si>
  <si>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</si>
  <si>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</si>
  <si>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</si>
  <si>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</si>
  <si>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</si>
  <si>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</si>
  <si>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</si>
  <si>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</si>
  <si>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</si>
  <si>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</si>
  <si>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</si>
  <si>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</si>
  <si>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</si>
  <si>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</si>
  <si>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</si>
  <si>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</si>
  <si>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</si>
  <si>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</si>
  <si>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</si>
  <si>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</si>
  <si>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</si>
  <si>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</si>
  <si>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</si>
  <si>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</si>
  <si>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</si>
  <si>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</si>
  <si>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</si>
  <si>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</si>
  <si>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</si>
  <si>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</si>
  <si>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</si>
  <si>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</si>
  <si>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</si>
  <si>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</si>
  <si>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</si>
  <si>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</si>
  <si>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</si>
  <si>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</si>
  <si>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</si>
  <si>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</si>
  <si>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</si>
  <si>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</si>
  <si>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</si>
  <si>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</si>
  <si>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</si>
  <si>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</si>
  <si>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</si>
  <si>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</si>
  <si>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</si>
  <si>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</si>
  <si>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</si>
  <si>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</si>
  <si>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</si>
  <si>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</si>
  <si>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</si>
  <si>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</si>
  <si>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</si>
  <si>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</si>
  <si>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</si>
  <si>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</si>
  <si>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</si>
  <si>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</si>
  <si>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</si>
  <si>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</si>
  <si>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</si>
  <si>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</si>
  <si>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</si>
  <si>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</si>
  <si>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</si>
  <si>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</si>
  <si>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</si>
  <si>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</si>
  <si>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</si>
  <si>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</si>
  <si>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</si>
  <si>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</si>
  <si>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</si>
  <si>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</si>
  <si>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</si>
  <si>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</si>
  <si>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</si>
  <si>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</si>
  <si>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</si>
  <si>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</si>
  <si>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</si>
  <si>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</si>
  <si>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</si>
  <si>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</si>
  <si>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</si>
  <si>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</si>
  <si>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</si>
  <si>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</si>
  <si>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</si>
  <si>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</si>
  <si>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</si>
  <si>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</si>
  <si>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</si>
  <si>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</si>
  <si>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</si>
  <si>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</si>
  <si>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</si>
  <si>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</si>
  <si>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</si>
  <si>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</si>
  <si>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</si>
  <si>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</si>
  <si>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</si>
  <si>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</si>
  <si>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</si>
  <si>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</si>
  <si>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</si>
  <si>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</si>
  <si>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</si>
  <si>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</si>
  <si>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</si>
  <si>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</si>
  <si>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</si>
  <si>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</si>
  <si>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</si>
  <si>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</si>
  <si>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</si>
  <si>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</si>
  <si>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</si>
  <si>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</si>
  <si>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</si>
  <si>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</si>
  <si>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</si>
  <si>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</si>
  <si>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</si>
  <si>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</si>
  <si>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</si>
  <si>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</si>
  <si>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</si>
  <si>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</si>
  <si>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</si>
  <si>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</si>
  <si>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</si>
  <si>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</si>
  <si>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</si>
  <si>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</si>
  <si>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</si>
  <si>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</si>
  <si>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</si>
  <si>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</si>
  <si>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</si>
  <si>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</si>
  <si>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</si>
  <si>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</si>
  <si>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</si>
  <si>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</si>
  <si>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</si>
  <si>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</si>
  <si>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</si>
  <si>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</si>
  <si>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</si>
  <si>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</si>
  <si>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</si>
  <si>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</si>
  <si>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</si>
  <si>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</si>
  <si>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</si>
  <si>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</si>
  <si>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</si>
  <si>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</si>
  <si>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</si>
  <si>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</si>
  <si>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</si>
  <si>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</si>
  <si>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</si>
  <si>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</si>
  <si>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</si>
  <si>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</si>
  <si>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</si>
  <si>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</si>
  <si>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</si>
  <si>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</si>
  <si>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</si>
  <si>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</si>
  <si>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</si>
  <si>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</si>
  <si>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</si>
  <si>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</si>
  <si>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</si>
  <si>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</si>
  <si>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</si>
  <si>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</si>
  <si>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</si>
  <si>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</si>
  <si>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</si>
  <si>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</si>
  <si>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</si>
  <si>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</si>
  <si>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</si>
  <si>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</si>
  <si>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</si>
  <si>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</si>
  <si>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</si>
  <si>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</si>
  <si>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</si>
  <si>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</si>
  <si>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</si>
  <si>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</si>
  <si>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</si>
  <si>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</si>
  <si>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</si>
  <si>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</si>
  <si>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</si>
  <si>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</si>
  <si>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</si>
  <si>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</si>
  <si>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</si>
  <si>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</si>
  <si>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</si>
  <si>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</si>
  <si>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</si>
  <si>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</si>
  <si>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</si>
  <si>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</si>
  <si>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</si>
  <si>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</si>
  <si>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</si>
  <si>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</si>
  <si>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</si>
  <si>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</si>
  <si>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</si>
  <si>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</si>
  <si>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</si>
  <si>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</si>
  <si>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</si>
  <si>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</si>
  <si>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</si>
  <si>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</si>
  <si>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</si>
  <si>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</si>
  <si>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</si>
  <si>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</si>
  <si>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</si>
  <si>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</si>
  <si>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</si>
  <si>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</si>
  <si>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</si>
  <si>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</si>
  <si>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</si>
  <si>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</si>
  <si>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</si>
  <si>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</si>
  <si>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</si>
  <si>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</si>
  <si>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</si>
  <si>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</si>
  <si>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</si>
  <si>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</si>
  <si>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</si>
  <si>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</si>
  <si>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</si>
  <si>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</si>
  <si>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</si>
  <si>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</si>
  <si>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</si>
  <si>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</si>
  <si>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</si>
  <si>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</si>
  <si>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</si>
  <si>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</si>
  <si>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</si>
  <si>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</si>
  <si>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</si>
  <si>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</si>
  <si>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</si>
  <si>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</si>
  <si>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</si>
  <si>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</si>
  <si>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</si>
  <si>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</si>
  <si>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</si>
  <si>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</si>
  <si>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</si>
  <si>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</si>
  <si>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</si>
  <si>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</si>
  <si>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</si>
  <si>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</si>
  <si>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</si>
  <si>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</si>
  <si>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</si>
  <si>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</si>
  <si>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</si>
  <si>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</si>
  <si>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</si>
  <si>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</si>
  <si>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</si>
  <si>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</si>
  <si>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</si>
  <si>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</si>
  <si>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</si>
  <si>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</si>
  <si>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</si>
  <si>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</si>
  <si>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</si>
  <si>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</si>
  <si>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</si>
  <si>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</si>
  <si>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</si>
  <si>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</si>
  <si>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</si>
  <si>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</si>
  <si>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</si>
  <si>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</si>
  <si>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</si>
  <si>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</si>
  <si>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</si>
  <si>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</si>
  <si>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</si>
  <si>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</si>
  <si>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</si>
  <si>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</si>
  <si>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</si>
  <si>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</si>
  <si>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</si>
  <si>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</si>
  <si>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</si>
  <si>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</si>
  <si>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</si>
  <si>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</si>
  <si>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</si>
  <si>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</si>
  <si>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</si>
  <si>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</si>
  <si>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</si>
  <si>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</si>
  <si>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</si>
  <si>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</si>
  <si>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</si>
  <si>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</si>
  <si>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</si>
  <si>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</si>
  <si>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</si>
  <si>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</si>
  <si>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</si>
  <si>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</si>
  <si>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</si>
  <si>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</si>
  <si>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</si>
  <si>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</si>
  <si>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</si>
  <si>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</si>
  <si>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</si>
  <si>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</si>
  <si>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</si>
  <si>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</si>
  <si>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</si>
  <si>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</si>
  <si>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</si>
  <si>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</si>
  <si>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</si>
  <si>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</si>
  <si>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</si>
  <si>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</si>
  <si>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</si>
  <si>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</si>
  <si>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</si>
  <si>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</si>
  <si>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</si>
  <si>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</si>
  <si>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</si>
  <si>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</si>
  <si>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</si>
  <si>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</si>
  <si>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</si>
  <si>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</si>
  <si>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</si>
  <si>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</si>
  <si>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</si>
  <si>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</si>
  <si>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</si>
  <si>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</si>
  <si>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</si>
  <si>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</si>
  <si>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</si>
  <si>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</si>
  <si>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</si>
  <si>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</si>
  <si>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</si>
  <si>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</si>
  <si>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</si>
  <si>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</si>
  <si>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</si>
  <si>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</si>
  <si>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</si>
  <si>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</si>
  <si>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</si>
  <si>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</si>
  <si>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</si>
  <si>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</si>
  <si>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</si>
  <si>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</si>
  <si>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</si>
  <si>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</si>
  <si>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</si>
  <si>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</si>
  <si>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</si>
  <si>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</si>
  <si>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</si>
  <si>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</si>
  <si>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</si>
  <si>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</si>
  <si>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</si>
  <si>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</si>
  <si>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</si>
  <si>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</si>
  <si>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</si>
  <si>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</si>
  <si>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</si>
  <si>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</si>
  <si>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</si>
  <si>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</si>
  <si>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</si>
  <si>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</si>
  <si>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</si>
  <si>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</si>
  <si>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</si>
  <si>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</si>
  <si>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</si>
  <si>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</si>
  <si>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</si>
  <si>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</si>
  <si>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</si>
  <si>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</si>
  <si>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</si>
  <si>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</si>
  <si>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</si>
  <si>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</si>
  <si>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</si>
  <si>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</si>
  <si>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</si>
  <si>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</si>
  <si>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</si>
  <si>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</si>
  <si>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</si>
  <si>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</si>
  <si>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</si>
  <si>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</si>
  <si>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</si>
  <si>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</si>
  <si>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</si>
  <si>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</si>
  <si>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</si>
  <si>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</si>
  <si>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</si>
  <si>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</si>
  <si>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</si>
  <si>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</si>
  <si>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</si>
  <si>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</si>
  <si>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</si>
  <si>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</si>
  <si>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</si>
  <si>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</si>
  <si>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</si>
  <si>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</si>
  <si>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</si>
  <si>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</si>
  <si>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</si>
  <si>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</si>
  <si>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</si>
  <si>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</si>
  <si>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</si>
  <si>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</si>
  <si>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</si>
  <si>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</si>
  <si>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</si>
  <si>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</si>
  <si>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</si>
  <si>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</si>
  <si>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</si>
  <si>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</si>
  <si>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</si>
  <si>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</si>
  <si>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</si>
  <si>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</si>
  <si>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</si>
  <si>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</si>
  <si>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</si>
  <si>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</si>
  <si>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</si>
  <si>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</si>
  <si>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</si>
  <si>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</si>
  <si>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</si>
  <si>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</si>
  <si>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</si>
  <si>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</si>
  <si>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</si>
  <si>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</si>
  <si>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</si>
  <si>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</si>
  <si>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</si>
  <si>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</si>
  <si>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</si>
  <si>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</si>
  <si>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</si>
  <si>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</si>
  <si>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</si>
  <si>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</si>
  <si>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</si>
  <si>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</si>
  <si>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</si>
  <si>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</si>
  <si>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</si>
  <si>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</si>
  <si>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</si>
  <si>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</si>
  <si>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</si>
  <si>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</si>
  <si>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</si>
  <si>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</si>
  <si>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</si>
  <si>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</si>
  <si>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</si>
  <si>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</si>
  <si>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</si>
  <si>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</si>
  <si>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</si>
  <si>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</si>
  <si>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</si>
  <si>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</si>
  <si>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</si>
  <si>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</si>
  <si>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</si>
  <si>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</si>
  <si>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</si>
  <si>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</si>
  <si>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</si>
  <si>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</si>
  <si>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</si>
  <si>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</si>
  <si>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</si>
  <si>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</si>
  <si>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</si>
  <si>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</si>
  <si>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</si>
  <si>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</si>
  <si>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</si>
  <si>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</si>
  <si>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</si>
  <si>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</si>
  <si>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</si>
  <si>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</si>
  <si>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</si>
  <si>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</si>
  <si>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</si>
  <si>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</si>
  <si>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</si>
  <si>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</si>
  <si>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</si>
  <si>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</si>
  <si>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</si>
  <si>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</si>
  <si>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</si>
  <si>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</si>
  <si>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</si>
  <si>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</si>
  <si>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</si>
  <si>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</si>
  <si>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</si>
  <si>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</si>
  <si>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</si>
  <si>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</si>
  <si>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</si>
  <si>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</si>
  <si>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</si>
  <si>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</si>
  <si>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</si>
  <si>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</si>
  <si>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</si>
  <si>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</si>
  <si>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</si>
  <si>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</si>
  <si>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</si>
  <si>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</si>
  <si>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</si>
  <si>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</si>
  <si>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</si>
  <si>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</si>
  <si>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</si>
  <si>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</si>
  <si>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</si>
  <si>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</si>
  <si>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</si>
  <si>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</si>
  <si>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</si>
  <si>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</si>
  <si>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</si>
  <si>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</si>
  <si>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</si>
  <si>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</si>
  <si>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</si>
  <si>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</si>
  <si>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</si>
  <si>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</si>
  <si>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</si>
  <si>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</si>
  <si>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</si>
  <si>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</si>
  <si>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</si>
  <si>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</si>
  <si>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</si>
  <si>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</si>
  <si>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</si>
  <si>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</si>
  <si>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</si>
  <si>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</si>
  <si>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</si>
  <si>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</si>
  <si>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</si>
  <si>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</si>
  <si>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</si>
  <si>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</si>
  <si>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</si>
  <si>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</si>
  <si>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</si>
  <si>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</si>
  <si>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</si>
  <si>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</si>
  <si>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</si>
  <si>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</si>
  <si>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</si>
  <si>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</si>
  <si>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</si>
  <si>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</si>
  <si>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</si>
  <si>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</si>
  <si>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</si>
  <si>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</si>
  <si>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</si>
  <si>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</si>
  <si>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</si>
  <si>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</si>
  <si>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</si>
  <si>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</si>
  <si>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</si>
  <si>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</si>
  <si>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</si>
  <si>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</si>
  <si>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</si>
  <si>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</si>
  <si>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</si>
  <si>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</si>
  <si>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</si>
  <si>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</si>
  <si>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</si>
  <si>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</si>
  <si>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</si>
  <si>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</si>
  <si>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</si>
  <si>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</si>
  <si>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</si>
  <si>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</si>
  <si>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</si>
  <si>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</si>
  <si>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</si>
  <si>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</si>
  <si>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</si>
  <si>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</si>
  <si>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</si>
  <si>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</si>
  <si>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</si>
  <si>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</si>
  <si>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</si>
  <si>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</si>
  <si>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</si>
  <si>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</si>
  <si>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</si>
  <si>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</si>
  <si>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</si>
  <si>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</si>
  <si>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</si>
  <si>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</si>
  <si>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</si>
  <si>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</si>
  <si>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</si>
  <si>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</si>
  <si>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</si>
  <si>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</si>
  <si>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</si>
  <si>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</si>
  <si>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</si>
  <si>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</si>
  <si>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</si>
  <si>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</si>
  <si>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</si>
  <si>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</si>
  <si>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</si>
  <si>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</si>
  <si>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</si>
  <si>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</si>
  <si>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</si>
  <si>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</si>
  <si>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</si>
  <si>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</si>
  <si>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</si>
  <si>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</si>
  <si>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</si>
  <si>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</si>
  <si>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</si>
  <si>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</si>
  <si>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</si>
  <si>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</si>
  <si>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</si>
  <si>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</si>
  <si>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</si>
  <si>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</si>
  <si>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</si>
  <si>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</si>
  <si>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</si>
  <si>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</si>
  <si>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</si>
  <si>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</si>
  <si>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</si>
  <si>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</si>
  <si>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</si>
  <si>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</si>
  <si>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</si>
  <si>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</si>
  <si>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</si>
  <si>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</si>
  <si>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</si>
  <si>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</si>
  <si>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</si>
  <si>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</si>
  <si>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</si>
  <si>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</si>
  <si>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</si>
  <si>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</si>
  <si>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</si>
  <si>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</si>
  <si>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</si>
  <si>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</si>
  <si>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</si>
  <si>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</si>
  <si>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</si>
  <si>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</si>
  <si>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</si>
  <si>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</si>
  <si>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</si>
  <si>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</si>
  <si>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</si>
  <si>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</si>
  <si>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</si>
  <si>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</si>
  <si>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</si>
  <si>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</si>
  <si>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</si>
  <si>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</si>
  <si>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</si>
  <si>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</si>
  <si>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</si>
  <si>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</si>
  <si>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</si>
  <si>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</si>
  <si>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</si>
  <si>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</si>
  <si>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</si>
  <si>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</si>
  <si>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</si>
  <si>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</si>
  <si>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</si>
  <si>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</si>
  <si>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</si>
  <si>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</si>
  <si>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</si>
  <si>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</si>
  <si>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</si>
  <si>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</si>
  <si>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</si>
  <si>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</si>
  <si>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</si>
  <si>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</si>
  <si>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</si>
  <si>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</si>
  <si>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</si>
  <si>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</si>
  <si>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</si>
  <si>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</si>
  <si>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</si>
  <si>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</si>
  <si>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</si>
  <si>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</si>
  <si>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</si>
  <si>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</si>
  <si>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</si>
  <si>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</si>
  <si>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</si>
  <si>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</si>
  <si>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</si>
  <si>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</si>
  <si>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</si>
  <si>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</si>
  <si>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</si>
  <si>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</si>
  <si>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</si>
  <si>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</si>
  <si>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</si>
  <si>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</si>
  <si>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</si>
  <si>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</si>
  <si>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</si>
  <si>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</si>
  <si>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</si>
  <si>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</si>
  <si>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</si>
  <si>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</si>
  <si>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</si>
  <si>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</si>
  <si>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</si>
  <si>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</si>
  <si>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</si>
  <si>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</si>
  <si>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</si>
  <si>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</si>
  <si>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</si>
  <si>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</si>
  <si>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</si>
  <si>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</si>
  <si>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</si>
  <si>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</si>
  <si>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</si>
  <si>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</si>
  <si>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</si>
  <si>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</si>
  <si>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</si>
  <si>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</si>
  <si>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</si>
  <si>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</si>
  <si>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</si>
  <si>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</si>
  <si>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</si>
  <si>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</si>
  <si>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</si>
  <si>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</si>
  <si>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</si>
  <si>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</si>
  <si>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</si>
  <si>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</si>
  <si>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</si>
  <si>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</si>
  <si>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</si>
  <si>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</si>
  <si>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</si>
  <si>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</si>
  <si>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</si>
  <si>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</si>
  <si>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</si>
  <si>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</si>
  <si>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</si>
  <si>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</si>
  <si>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</si>
  <si>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</si>
  <si>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</si>
  <si>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</si>
  <si>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</si>
  <si>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</si>
  <si>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</si>
  <si>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</si>
  <si>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</si>
  <si>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</si>
  <si>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</si>
  <si>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</si>
  <si>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</si>
  <si>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</si>
  <si>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</si>
  <si>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</si>
  <si>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</si>
  <si>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</si>
  <si>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</si>
  <si>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</si>
  <si>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</si>
  <si>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</si>
  <si>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</si>
  <si>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</si>
  <si>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</si>
  <si>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</si>
  <si>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</si>
  <si>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</si>
  <si>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</si>
  <si>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</si>
  <si>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</si>
  <si>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</si>
  <si>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</si>
  <si>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</si>
  <si>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</si>
  <si>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</si>
  <si>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</si>
  <si>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</si>
  <si>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</si>
  <si>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</si>
  <si>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</si>
  <si>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</si>
  <si>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</si>
  <si>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</si>
  <si>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</si>
  <si>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</si>
  <si>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</si>
  <si>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</si>
  <si>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</si>
  <si>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</si>
  <si>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</si>
  <si>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</si>
  <si>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</si>
  <si>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</si>
  <si>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</si>
  <si>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</si>
  <si>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</si>
  <si>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</si>
  <si>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</si>
  <si>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</si>
  <si>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</si>
  <si>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</si>
  <si>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</si>
  <si>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</si>
  <si>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</si>
  <si>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</si>
  <si>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</si>
  <si>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</si>
  <si>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</si>
  <si>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</si>
  <si>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</si>
  <si>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</si>
  <si>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</si>
  <si>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</si>
  <si>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</si>
  <si>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</si>
  <si>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</si>
  <si>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</si>
  <si>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</si>
  <si>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</si>
  <si>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</si>
  <si>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</si>
  <si>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</si>
  <si>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</si>
  <si>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</si>
  <si>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</si>
  <si>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</si>
  <si>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</si>
  <si>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</si>
  <si>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</si>
  <si>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</si>
  <si>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</si>
  <si>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</si>
  <si>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</si>
  <si>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</si>
  <si>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</si>
  <si>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</si>
  <si>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</si>
  <si>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</si>
  <si>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</si>
  <si>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</si>
  <si>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</si>
  <si>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</si>
  <si>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</si>
  <si>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</si>
  <si>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</si>
  <si>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</si>
  <si>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</si>
  <si>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</si>
  <si>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</si>
  <si>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</si>
  <si>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</si>
  <si>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</si>
  <si>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</si>
  <si>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</si>
  <si>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</si>
  <si>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</si>
  <si>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</si>
  <si>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</si>
  <si>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</si>
  <si>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</si>
  <si>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</si>
  <si>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</si>
  <si>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</si>
  <si>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</si>
  <si>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</si>
  <si>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</si>
  <si>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</si>
  <si>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</si>
  <si>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</si>
  <si>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</si>
  <si>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</si>
  <si>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</si>
  <si>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</si>
  <si>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</si>
  <si>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</si>
  <si>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</si>
  <si>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</si>
  <si>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</si>
  <si>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</si>
  <si>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</si>
  <si>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</si>
  <si>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</si>
  <si>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</si>
  <si>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</si>
  <si>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</si>
  <si>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</si>
  <si>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</si>
  <si>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</si>
  <si>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</si>
  <si>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</si>
  <si>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</si>
  <si>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</si>
  <si>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</si>
  <si>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</si>
  <si>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</si>
  <si>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</si>
  <si>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</si>
  <si>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</si>
  <si>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</si>
  <si>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</si>
  <si>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</si>
  <si>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</si>
  <si>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</si>
  <si>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</si>
  <si>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</si>
  <si>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</si>
  <si>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</si>
  <si>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</si>
  <si>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</si>
  <si>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</si>
  <si>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</si>
  <si>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</si>
  <si>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</si>
  <si>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</si>
  <si>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</si>
  <si>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</si>
  <si>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</si>
  <si>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</si>
  <si>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</si>
  <si>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</si>
  <si>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</si>
  <si>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</si>
  <si>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</si>
  <si>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</si>
  <si>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</si>
  <si>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</si>
  <si>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</si>
  <si>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</si>
  <si>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</si>
  <si>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</si>
  <si>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</si>
  <si>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</si>
  <si>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</si>
  <si>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</si>
  <si>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</si>
  <si>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</si>
  <si>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</si>
  <si>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</si>
  <si>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</si>
  <si>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</si>
  <si>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</si>
  <si>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</si>
  <si>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</si>
  <si>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</si>
  <si>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</si>
  <si>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</si>
  <si>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</si>
  <si>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</si>
  <si>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</si>
  <si>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</si>
  <si>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</si>
  <si>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</si>
  <si>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</si>
  <si>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</si>
  <si>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</si>
  <si>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</si>
  <si>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</si>
  <si>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</si>
  <si>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</si>
  <si>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</si>
  <si>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</si>
  <si>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</si>
  <si>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</si>
  <si>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</si>
  <si>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</si>
  <si>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</si>
  <si>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</si>
  <si>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</si>
  <si>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</si>
  <si>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</si>
  <si>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</si>
  <si>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</si>
  <si>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</si>
  <si>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</si>
  <si>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</si>
  <si>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</si>
  <si>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</si>
  <si>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</si>
  <si>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</si>
  <si>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</si>
  <si>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</si>
  <si>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</si>
  <si>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</si>
  <si>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</si>
  <si>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</si>
  <si>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</si>
  <si>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</si>
  <si>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</si>
  <si>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</si>
  <si>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</si>
  <si>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</si>
  <si>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</si>
  <si>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</si>
  <si>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</si>
  <si>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</si>
  <si>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</si>
  <si>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</si>
  <si>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</si>
  <si>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</si>
  <si>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</si>
  <si>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</si>
  <si>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</si>
  <si>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</si>
  <si>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</si>
  <si>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</si>
  <si>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</si>
  <si>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</si>
  <si>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</si>
  <si>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</si>
  <si>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</si>
  <si>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</si>
  <si>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</si>
  <si>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</si>
  <si>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</si>
  <si>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</si>
  <si>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</si>
  <si>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</si>
  <si>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</si>
  <si>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</si>
  <si>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</si>
  <si>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</si>
  <si>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</si>
  <si>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</si>
  <si>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</si>
  <si>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</si>
  <si>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</si>
  <si>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</si>
  <si>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</si>
  <si>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</si>
  <si>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</si>
  <si>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</si>
  <si>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</si>
  <si>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</si>
  <si>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</si>
  <si>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</si>
  <si>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</si>
  <si>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</si>
  <si>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</si>
  <si>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</si>
  <si>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</si>
  <si>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</si>
  <si>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</si>
  <si>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</si>
  <si>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</si>
  <si>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</si>
  <si>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</si>
  <si>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</si>
  <si>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</si>
  <si>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</si>
  <si>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</si>
  <si>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</si>
  <si>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</si>
  <si>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</si>
  <si>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</si>
  <si>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</si>
  <si>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</si>
  <si>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</si>
  <si>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</si>
  <si>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</si>
  <si>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</si>
  <si>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</si>
  <si>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</si>
  <si>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</si>
  <si>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</si>
  <si>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</si>
  <si>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</si>
  <si>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</si>
  <si>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</si>
  <si>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</si>
  <si>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</si>
  <si>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</si>
  <si>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</si>
  <si>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</si>
  <si>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</si>
  <si>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</si>
  <si>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</si>
  <si>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</si>
  <si>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</si>
  <si>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</si>
  <si>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</si>
  <si>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</si>
  <si>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</si>
  <si>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</si>
  <si>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</si>
  <si>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</si>
  <si>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</si>
  <si>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</si>
  <si>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</si>
  <si>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</si>
  <si>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</si>
  <si>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</si>
  <si>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</si>
  <si>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</si>
  <si>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</si>
  <si>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</si>
  <si>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</si>
  <si>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</si>
  <si>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</si>
  <si>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</si>
  <si>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</si>
  <si>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</si>
  <si>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</si>
  <si>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</si>
  <si>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</si>
  <si>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</si>
  <si>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</si>
  <si>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</si>
  <si>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</si>
  <si>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</si>
  <si>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</si>
  <si>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</si>
  <si>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</si>
  <si>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</si>
  <si>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</si>
  <si>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</si>
  <si>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</si>
  <si>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</si>
  <si>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</si>
  <si>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</si>
  <si>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</si>
  <si>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</si>
  <si>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</si>
  <si>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</si>
  <si>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</si>
  <si>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</si>
  <si>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</si>
  <si>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</si>
  <si>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</si>
  <si>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</si>
  <si>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</si>
  <si>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</si>
  <si>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</si>
  <si>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</si>
  <si>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</si>
  <si>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</si>
  <si>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</si>
  <si>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</si>
  <si>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</si>
  <si>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</si>
  <si>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</si>
  <si>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</si>
  <si>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</si>
  <si>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</si>
  <si>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</si>
  <si>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</si>
  <si>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</si>
  <si>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</si>
  <si>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</si>
  <si>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</si>
  <si>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</si>
  <si>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</si>
  <si>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</si>
  <si>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</si>
  <si>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</si>
  <si>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</si>
  <si>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</si>
  <si>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</si>
  <si>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</si>
  <si>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</si>
  <si>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</si>
  <si>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</si>
  <si>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</si>
  <si>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</si>
  <si>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</si>
  <si>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</si>
  <si>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</si>
  <si>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</si>
  <si>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</si>
  <si>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</si>
  <si>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</si>
  <si>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</si>
  <si>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</si>
  <si>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</si>
  <si>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</si>
  <si>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</si>
  <si>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</si>
  <si>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</si>
  <si>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</si>
  <si>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</si>
  <si>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</si>
  <si>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</si>
  <si>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</si>
  <si>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</si>
  <si>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</si>
  <si>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</si>
  <si>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</si>
  <si>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</si>
  <si>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</si>
  <si>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</si>
  <si>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</si>
  <si>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</si>
  <si>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</si>
  <si>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</si>
  <si>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</si>
  <si>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</si>
  <si>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</si>
  <si>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</si>
  <si>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</si>
  <si>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</si>
  <si>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</si>
  <si>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</si>
  <si>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</si>
  <si>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</si>
  <si>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</si>
  <si>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</si>
  <si>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</si>
  <si>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</si>
  <si>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</si>
  <si>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</si>
  <si>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</si>
  <si>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</si>
  <si>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</si>
  <si>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</si>
  <si>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</si>
  <si>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</si>
  <si>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</si>
  <si>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</si>
  <si>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</si>
  <si>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</si>
  <si>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</si>
  <si>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</si>
  <si>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</si>
  <si>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</si>
  <si>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</si>
  <si>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</si>
  <si>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</si>
  <si>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</si>
  <si>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</si>
  <si>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</si>
  <si>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</si>
  <si>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</si>
  <si>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</si>
  <si>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</si>
  <si>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</si>
  <si>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</si>
  <si>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</si>
  <si>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</si>
  <si>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</si>
  <si>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</si>
  <si>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</si>
  <si>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</si>
  <si>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</si>
  <si>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</si>
  <si>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</si>
  <si>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</si>
  <si>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</si>
  <si>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</si>
  <si>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</si>
  <si>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</si>
  <si>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</si>
  <si>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</si>
  <si>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</si>
  <si>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</si>
  <si>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</si>
  <si>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</si>
  <si>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</si>
  <si>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</si>
  <si>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</si>
  <si>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</si>
  <si>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</si>
  <si>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</si>
  <si>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</si>
  <si>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</si>
  <si>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</si>
  <si>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</si>
  <si>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</si>
  <si>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</si>
  <si>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</si>
  <si>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</si>
  <si>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</si>
  <si>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</si>
  <si>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</si>
  <si>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</si>
  <si>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</si>
  <si>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</si>
  <si>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</si>
  <si>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</si>
  <si>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</si>
  <si>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</si>
  <si>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</si>
  <si>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</si>
  <si>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</si>
  <si>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</si>
  <si>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</si>
  <si>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</si>
  <si>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</si>
  <si>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</si>
  <si>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</si>
  <si>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</si>
  <si>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</si>
  <si>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</si>
  <si>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</si>
  <si>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</si>
  <si>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</si>
  <si>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</si>
  <si>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</si>
  <si>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</si>
  <si>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</si>
  <si>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</si>
  <si>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</si>
  <si>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</si>
  <si>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</si>
  <si>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</si>
  <si>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</si>
  <si>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</si>
  <si>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</si>
  <si>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</si>
  <si>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</si>
  <si>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</si>
  <si>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</si>
  <si>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</si>
  <si>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</si>
  <si>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</si>
  <si>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</si>
  <si>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</si>
  <si>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</si>
  <si>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</si>
  <si>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</si>
  <si>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</si>
  <si>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</si>
  <si>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</si>
  <si>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</si>
  <si>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</si>
  <si>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</si>
  <si>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</si>
  <si>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</si>
  <si>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</si>
  <si>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</si>
  <si>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</si>
  <si>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</si>
  <si>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</si>
  <si>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</si>
  <si>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</si>
  <si>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</si>
  <si>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</si>
  <si>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</si>
  <si>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</si>
  <si>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</si>
  <si>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</si>
  <si>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</si>
  <si>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</si>
  <si>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</si>
  <si>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</si>
  <si>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</si>
  <si>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</si>
  <si>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</si>
  <si>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</si>
  <si>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</si>
  <si>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</si>
  <si>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</si>
  <si>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</si>
  <si>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</si>
  <si>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</si>
  <si>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</si>
  <si>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</si>
  <si>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</si>
  <si>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</si>
  <si>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</si>
  <si>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</si>
  <si>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</si>
  <si>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</si>
  <si>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</si>
  <si>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</si>
  <si>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</si>
  <si>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</si>
  <si>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</si>
  <si>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</si>
  <si>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</si>
  <si>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</si>
  <si>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</si>
  <si>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</si>
  <si>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</si>
  <si>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</si>
  <si>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</si>
  <si>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</si>
  <si>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</si>
  <si>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</si>
  <si>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</si>
  <si>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</si>
  <si>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</si>
  <si>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</si>
  <si>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</si>
  <si>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</si>
  <si>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</si>
  <si>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</si>
  <si>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</si>
  <si>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</si>
  <si>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</si>
  <si>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</si>
  <si>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</si>
  <si>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</si>
  <si>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</si>
  <si>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</si>
  <si>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</si>
  <si>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</si>
  <si>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</si>
  <si>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</si>
  <si>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</si>
  <si>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</si>
  <si>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</si>
  <si>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</si>
  <si>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</si>
  <si>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</si>
  <si>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</si>
  <si>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</si>
  <si>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</si>
  <si>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</si>
  <si>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</si>
  <si>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</si>
  <si>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</si>
  <si>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</si>
  <si>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</si>
  <si>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</si>
  <si>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</si>
  <si>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</si>
  <si>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</si>
  <si>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</si>
  <si>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</si>
  <si>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</si>
  <si>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</si>
  <si>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</si>
  <si>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</si>
  <si>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</si>
  <si>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</si>
  <si>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</si>
  <si>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</si>
  <si>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</si>
  <si>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</si>
  <si>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</si>
  <si>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</si>
  <si>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</si>
  <si>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</si>
  <si>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</si>
  <si>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</si>
  <si>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</si>
  <si>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</si>
  <si>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</si>
  <si>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</si>
  <si>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</si>
  <si>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</si>
  <si>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</si>
  <si>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</si>
  <si>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</si>
  <si>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</si>
  <si>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</si>
  <si>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</si>
  <si>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</si>
  <si>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</si>
  <si>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</si>
  <si>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</si>
  <si>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</si>
  <si>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</si>
  <si>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</si>
  <si>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</si>
  <si>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</si>
  <si>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</si>
  <si>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</si>
  <si>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</si>
  <si>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</si>
  <si>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</si>
  <si>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</si>
  <si>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</si>
  <si>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</si>
  <si>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</si>
  <si>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</si>
  <si>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</si>
  <si>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</si>
  <si>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</si>
  <si>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</si>
  <si>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</si>
  <si>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</si>
  <si>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</si>
  <si>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</si>
  <si>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</si>
  <si>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</si>
  <si>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</si>
  <si>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</si>
  <si>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</si>
  <si>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</si>
  <si>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</si>
  <si>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</si>
  <si>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</si>
  <si>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</si>
  <si>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</si>
  <si>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</si>
  <si>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</si>
  <si>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</si>
  <si>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</si>
  <si>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</si>
  <si>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</si>
  <si>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</si>
  <si>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</si>
  <si>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</si>
  <si>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</si>
  <si>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</si>
  <si>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</si>
  <si>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</si>
  <si>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</si>
  <si>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</si>
  <si>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</si>
  <si>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</si>
  <si>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</si>
  <si>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</si>
  <si>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</si>
  <si>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</si>
  <si>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</si>
  <si>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</si>
  <si>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</si>
  <si>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</si>
  <si>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</si>
  <si>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</si>
  <si>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</si>
  <si>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</si>
  <si>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</si>
  <si>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</si>
  <si>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</si>
  <si>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</si>
  <si>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</si>
  <si>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</si>
  <si>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</si>
  <si>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</si>
  <si>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</si>
  <si>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</si>
  <si>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</si>
  <si>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</si>
  <si>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</si>
  <si>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</si>
  <si>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</si>
  <si>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</si>
  <si>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</si>
  <si>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</si>
  <si>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</si>
  <si>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</si>
  <si>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</si>
  <si>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</si>
  <si>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</si>
  <si>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</si>
  <si>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</si>
  <si>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</si>
  <si>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</si>
  <si>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</si>
  <si>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</si>
  <si>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</si>
  <si>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</si>
  <si>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</si>
  <si>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</si>
  <si>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</si>
  <si>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</si>
  <si>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</si>
  <si>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</si>
  <si>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</si>
  <si>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</si>
  <si>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</si>
  <si>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</si>
  <si>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</si>
  <si>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</si>
  <si>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</si>
  <si>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</si>
  <si>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</si>
  <si>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</si>
  <si>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</si>
  <si>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</si>
  <si>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</si>
  <si>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</si>
  <si>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</si>
  <si>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</si>
  <si>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</si>
  <si>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</si>
  <si>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</si>
  <si>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</si>
  <si>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</si>
  <si>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</si>
  <si>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</si>
  <si>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</si>
  <si>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</si>
  <si>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</si>
  <si>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</si>
  <si>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</si>
  <si>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</si>
  <si>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</si>
  <si>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</si>
  <si>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</si>
  <si>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</si>
  <si>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</si>
  <si>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</si>
  <si>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</si>
  <si>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</si>
  <si>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</si>
  <si>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</si>
  <si>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</si>
  <si>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</si>
  <si>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</si>
  <si>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</si>
  <si>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</si>
  <si>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</si>
  <si>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</si>
  <si>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</si>
  <si>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</si>
  <si>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</si>
  <si>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</si>
  <si>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</si>
  <si>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</si>
  <si>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</si>
  <si>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</si>
  <si>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</si>
  <si>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</si>
  <si>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</si>
  <si>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</si>
  <si>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</si>
  <si>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</si>
  <si>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</si>
  <si>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</si>
  <si>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</si>
  <si>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</si>
  <si>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</si>
  <si>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</si>
  <si>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</si>
  <si>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</si>
  <si>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</si>
  <si>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</si>
  <si>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</si>
  <si>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</si>
  <si>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</si>
  <si>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</si>
  <si>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</si>
  <si>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</si>
  <si>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</si>
  <si>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</si>
  <si>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</si>
  <si>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</si>
  <si>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</si>
  <si>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</si>
  <si>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</si>
  <si>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</si>
  <si>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</si>
  <si>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</si>
  <si>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</si>
  <si>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</si>
  <si>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</si>
  <si>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</si>
  <si>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</si>
  <si>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</si>
  <si>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</si>
  <si>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</si>
  <si>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</si>
  <si>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</si>
  <si>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</si>
  <si>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</si>
  <si>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</si>
  <si>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</si>
  <si>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</si>
  <si>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</si>
  <si>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</si>
  <si>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</si>
  <si>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</si>
  <si>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</si>
  <si>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</si>
  <si>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</si>
  <si>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</si>
  <si>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</si>
  <si>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</si>
  <si>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</si>
  <si>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</si>
  <si>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</si>
  <si>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</si>
  <si>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</si>
  <si>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</si>
  <si>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</si>
  <si>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</si>
  <si>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</si>
  <si>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</si>
  <si>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</si>
  <si>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</si>
  <si>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</si>
  <si>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</si>
  <si>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</si>
  <si>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</si>
  <si>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</si>
  <si>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</si>
  <si>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</si>
  <si>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</si>
  <si>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</si>
  <si>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</si>
  <si>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</si>
  <si>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</si>
  <si>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</si>
  <si>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</si>
  <si>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</si>
  <si>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</si>
  <si>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</si>
  <si>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</si>
  <si>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</si>
  <si>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</si>
  <si>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</si>
  <si>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</si>
  <si>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</si>
  <si>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</si>
  <si>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</si>
  <si>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</si>
  <si>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</si>
  <si>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</si>
  <si>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</si>
  <si>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</si>
  <si>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</si>
  <si>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</si>
  <si>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</si>
  <si>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</si>
  <si>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</si>
  <si>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</si>
  <si>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</si>
  <si>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</si>
  <si>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</si>
  <si>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</si>
  <si>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</si>
  <si>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</si>
  <si>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</si>
  <si>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</si>
  <si>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</si>
  <si>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</si>
  <si>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</si>
  <si>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</si>
  <si>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</si>
  <si>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</si>
  <si>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</si>
  <si>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</si>
  <si>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</si>
  <si>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</si>
  <si>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</si>
  <si>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</si>
  <si>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</si>
  <si>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</si>
  <si>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</si>
  <si>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</si>
  <si>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</si>
  <si>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</si>
  <si>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</si>
  <si>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</si>
  <si>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</si>
  <si>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</si>
  <si>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</si>
  <si>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</si>
  <si>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</si>
  <si>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</si>
  <si>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</si>
  <si>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</si>
  <si>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</si>
  <si>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</si>
  <si>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</si>
  <si>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</si>
  <si>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</si>
  <si>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</si>
  <si>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</si>
  <si>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</si>
  <si>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</si>
  <si>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</si>
  <si>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</si>
  <si>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</si>
  <si>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</si>
  <si>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</si>
  <si>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</si>
  <si>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</si>
  <si>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</si>
  <si>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</si>
  <si>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</si>
  <si>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</si>
  <si>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</si>
  <si>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</si>
  <si>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</si>
  <si>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</si>
  <si>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</si>
  <si>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</si>
  <si>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</si>
  <si>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</si>
  <si>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</si>
  <si>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</si>
  <si>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</si>
  <si>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</si>
  <si>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</si>
  <si>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</si>
  <si>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</si>
  <si>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</si>
  <si>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</si>
  <si>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</si>
  <si>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</si>
  <si>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</si>
  <si>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</si>
  <si>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</si>
  <si>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</si>
  <si>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</si>
  <si>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</si>
  <si>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</si>
  <si>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</si>
  <si>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</si>
  <si>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</si>
  <si>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</si>
  <si>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</si>
  <si>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</si>
  <si>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</si>
  <si>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</si>
  <si>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</si>
  <si>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</si>
  <si>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</si>
  <si>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</si>
  <si>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</si>
  <si>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</si>
  <si>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</si>
  <si>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</si>
  <si>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</si>
  <si>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</si>
  <si>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</si>
  <si>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</si>
  <si>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</si>
  <si>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</si>
  <si>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</si>
  <si>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</si>
  <si>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</si>
  <si>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</si>
  <si>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</si>
  <si>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</si>
  <si>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</si>
  <si>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</si>
  <si>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</si>
  <si>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</si>
  <si>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</si>
  <si>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</si>
  <si>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</si>
  <si>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</si>
  <si>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</si>
  <si>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</si>
  <si>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</si>
  <si>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</si>
  <si>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</si>
  <si>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</si>
  <si>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</si>
  <si>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</si>
  <si>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</si>
  <si>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</si>
  <si>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</si>
  <si>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</si>
  <si>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</si>
  <si>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</si>
  <si>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</si>
  <si>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</si>
  <si>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</si>
  <si>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</si>
  <si>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</si>
  <si>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</si>
  <si>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</si>
  <si>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</si>
  <si>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</si>
  <si>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</si>
  <si>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</si>
  <si>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</si>
  <si>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</si>
  <si>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</si>
  <si>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</si>
  <si>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</si>
  <si>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</si>
  <si>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</si>
  <si>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</si>
  <si>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</si>
  <si>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</si>
  <si>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</si>
  <si>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</si>
  <si>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</si>
  <si>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</si>
  <si>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</si>
  <si>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</si>
  <si>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</si>
  <si>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</si>
  <si>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</si>
  <si>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</si>
  <si>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</si>
  <si>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</si>
  <si>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</si>
  <si>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</si>
  <si>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</si>
  <si>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</si>
  <si>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</si>
  <si>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</si>
  <si>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</si>
  <si>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</si>
  <si>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</si>
  <si>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</si>
  <si>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</si>
  <si>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</si>
  <si>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</si>
  <si>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</si>
  <si>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</si>
  <si>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</si>
  <si>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</si>
  <si>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</si>
  <si>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</si>
  <si>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</si>
  <si>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</si>
  <si>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</si>
  <si>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</si>
  <si>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</si>
  <si>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</si>
  <si>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</si>
  <si>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</si>
  <si>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</si>
  <si>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</si>
  <si>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</si>
  <si>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</si>
  <si>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</si>
  <si>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</si>
  <si>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</si>
  <si>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</si>
  <si>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</si>
  <si>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</si>
  <si>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</si>
  <si>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</si>
  <si>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</si>
  <si>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</si>
  <si>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</si>
  <si>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</si>
  <si>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</si>
  <si>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</si>
  <si>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</si>
  <si>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</si>
  <si>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</si>
  <si>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</si>
  <si>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</si>
  <si>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</si>
  <si>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</si>
  <si>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</si>
  <si>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</si>
  <si>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</si>
  <si>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</si>
  <si>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</si>
  <si>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</si>
  <si>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</si>
  <si>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</si>
  <si>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</si>
  <si>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</si>
  <si>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</si>
  <si>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</si>
  <si>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</si>
  <si>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</si>
  <si>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</si>
  <si>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</si>
  <si>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</si>
  <si>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</si>
  <si>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</si>
  <si>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</si>
  <si>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</si>
  <si>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</si>
  <si>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</si>
  <si>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</si>
  <si>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</si>
  <si>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</si>
  <si>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</si>
  <si>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</si>
  <si>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</si>
  <si>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</si>
  <si>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</si>
  <si>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</si>
  <si>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</si>
  <si>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</si>
  <si>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</si>
  <si>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</si>
  <si>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</si>
  <si>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</si>
  <si>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</si>
  <si>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</si>
  <si>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</si>
  <si>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</si>
  <si>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</si>
  <si>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</si>
  <si>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</si>
  <si>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</si>
  <si>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</si>
  <si>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</si>
  <si>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</si>
  <si>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</si>
  <si>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</si>
  <si>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</si>
  <si>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</si>
  <si>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</si>
  <si>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</si>
  <si>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</si>
  <si>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</si>
  <si>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</si>
  <si>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</si>
  <si>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</si>
  <si>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</si>
  <si>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</si>
  <si>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</si>
  <si>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</si>
  <si>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</si>
  <si>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</si>
  <si>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</si>
  <si>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</si>
  <si>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</si>
  <si>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</si>
  <si>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</si>
  <si>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</si>
  <si>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</si>
  <si>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</si>
  <si>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</si>
  <si>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</si>
  <si>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</si>
  <si>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</si>
  <si>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</si>
  <si>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</si>
  <si>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</si>
  <si>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</si>
  <si>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</si>
  <si>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</si>
  <si>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</si>
  <si>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</si>
  <si>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</si>
  <si>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</si>
  <si>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</si>
  <si>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</si>
  <si>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</si>
  <si>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</si>
  <si>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</si>
  <si>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</si>
  <si>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</si>
  <si>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</si>
  <si>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</si>
  <si>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</si>
  <si>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</si>
  <si>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</si>
  <si>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</si>
  <si>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</si>
  <si>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</si>
  <si>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</si>
  <si>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</si>
  <si>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</si>
  <si>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</si>
  <si>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</si>
  <si>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</si>
  <si>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</si>
  <si>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</si>
  <si>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</si>
  <si>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</si>
  <si>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</si>
  <si>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</si>
  <si>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</si>
  <si>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</si>
  <si>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</si>
  <si>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</si>
  <si>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</si>
  <si>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</si>
  <si>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</si>
  <si>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</si>
  <si>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</si>
  <si>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</si>
  <si>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</si>
  <si>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</si>
  <si>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</si>
  <si>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</si>
  <si>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</si>
  <si>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</si>
  <si>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</si>
  <si>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</si>
  <si>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</si>
  <si>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</si>
  <si>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</si>
  <si>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</si>
  <si>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</si>
  <si>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</si>
  <si>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</si>
  <si>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</si>
  <si>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</si>
  <si>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</si>
  <si>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</si>
  <si>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</si>
  <si>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</si>
  <si>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</si>
  <si>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</si>
  <si>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</si>
  <si>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</si>
  <si>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</si>
  <si>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</si>
  <si>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</si>
  <si>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</si>
  <si>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</si>
  <si>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</si>
  <si>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</si>
  <si>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</si>
  <si>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</si>
  <si>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</si>
  <si>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</si>
  <si>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</si>
  <si>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</si>
  <si>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</si>
  <si>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</si>
  <si>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</si>
  <si>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</si>
  <si>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</si>
  <si>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</si>
  <si>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</si>
  <si>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</si>
  <si>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</si>
  <si>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</si>
  <si>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</si>
  <si>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</si>
  <si>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</si>
  <si>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</si>
  <si>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</si>
  <si>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</si>
  <si>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</si>
  <si>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</si>
  <si>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</si>
  <si>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</si>
  <si>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</si>
  <si>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</si>
  <si>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</si>
  <si>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</si>
  <si>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</si>
  <si>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</si>
  <si>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</si>
  <si>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</si>
  <si>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</si>
  <si>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</si>
  <si>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</si>
  <si>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</si>
  <si>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</si>
  <si>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</si>
  <si>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</si>
  <si>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</si>
  <si>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</si>
  <si>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</si>
  <si>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</si>
  <si>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</si>
  <si>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</si>
  <si>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</si>
  <si>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</si>
  <si>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</si>
  <si>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</si>
  <si>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</si>
  <si>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</si>
  <si>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</si>
  <si>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</si>
  <si>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</si>
  <si>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</si>
  <si>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</si>
  <si>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</si>
  <si>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</si>
  <si>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</si>
  <si>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</si>
  <si>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</si>
  <si>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</si>
  <si>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</si>
  <si>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</si>
  <si>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</si>
  <si>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</si>
  <si>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</si>
  <si>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</si>
  <si>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</si>
  <si>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</si>
  <si>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</si>
  <si>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</si>
  <si>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</si>
  <si>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</si>
  <si>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</si>
  <si>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</si>
  <si>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</si>
  <si>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</si>
  <si>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</si>
  <si>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</si>
  <si>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</si>
  <si>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</si>
  <si>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</si>
  <si>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</si>
  <si>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</si>
  <si>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</si>
  <si>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</si>
  <si>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</si>
  <si>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</si>
  <si>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</si>
  <si>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</si>
  <si>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</si>
  <si>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</si>
  <si>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</si>
  <si>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</si>
  <si>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</si>
  <si>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</si>
  <si>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</si>
  <si>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</si>
  <si>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</si>
  <si>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</si>
  <si>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</si>
  <si>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</si>
  <si>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</si>
  <si>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</si>
  <si>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</si>
  <si>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</si>
  <si>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</si>
  <si>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</si>
  <si>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</si>
  <si>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</si>
  <si>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</si>
  <si>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</si>
  <si>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</si>
  <si>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</si>
  <si>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</si>
  <si>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</si>
  <si>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</si>
  <si>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</si>
  <si>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</si>
  <si>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</si>
  <si>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</si>
  <si>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</si>
  <si>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</si>
  <si>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</si>
  <si>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</si>
  <si>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</si>
  <si>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</si>
  <si>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</si>
  <si>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</si>
  <si>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</si>
  <si>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</si>
  <si>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</si>
  <si>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</si>
  <si>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</si>
  <si>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</si>
  <si>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</si>
  <si>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</si>
  <si>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</si>
  <si>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</si>
  <si>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</si>
  <si>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</si>
  <si>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</si>
  <si>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</si>
  <si>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</si>
  <si>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</si>
  <si>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</si>
  <si>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</si>
  <si>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</si>
  <si>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</si>
  <si>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</si>
  <si>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</si>
  <si>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</si>
  <si>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</si>
  <si>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</si>
  <si>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</si>
  <si>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</si>
  <si>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</si>
  <si>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</si>
  <si>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</si>
  <si>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</si>
  <si>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</si>
  <si>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</si>
  <si>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</si>
  <si>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</si>
  <si>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</si>
  <si>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</si>
  <si>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</si>
  <si>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</si>
  <si>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</si>
  <si>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</si>
  <si>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</si>
  <si>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</si>
  <si>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</si>
  <si>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</si>
  <si>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</si>
  <si>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</si>
  <si>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</si>
  <si>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</si>
  <si>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</si>
  <si>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</si>
  <si>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</si>
  <si>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</si>
  <si>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</si>
  <si>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</si>
  <si>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</si>
  <si>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</si>
  <si>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</si>
  <si>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</si>
  <si>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</si>
  <si>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</si>
  <si>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</si>
  <si>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</si>
  <si>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</si>
  <si>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</si>
  <si>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</si>
  <si>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</si>
  <si>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</si>
  <si>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</si>
  <si>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</si>
  <si>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</si>
  <si>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</si>
  <si>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</si>
  <si>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</si>
  <si>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</si>
  <si>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</si>
  <si>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</si>
  <si>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</si>
  <si>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</si>
  <si>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</si>
  <si>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</si>
  <si>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</si>
  <si>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</si>
  <si>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</si>
  <si>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</si>
  <si>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</si>
  <si>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</si>
  <si>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</si>
  <si>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</si>
  <si>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</si>
  <si>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</si>
  <si>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</si>
  <si>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</si>
  <si>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</si>
  <si>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</si>
  <si>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</si>
  <si>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</si>
  <si>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</si>
  <si>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</si>
  <si>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</si>
  <si>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</si>
  <si>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</si>
  <si>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</si>
  <si>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</si>
  <si>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</si>
  <si>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</si>
  <si>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</si>
  <si>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</si>
  <si>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</si>
  <si>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</si>
  <si>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</si>
  <si>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</si>
  <si>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</si>
  <si>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</si>
  <si>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</si>
  <si>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</si>
  <si>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</si>
  <si>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</si>
  <si>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</si>
  <si>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</si>
  <si>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</si>
  <si>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</si>
  <si>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</si>
  <si>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</si>
  <si>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</si>
  <si>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</si>
  <si>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</si>
  <si>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</si>
  <si>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</si>
  <si>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</si>
  <si>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</si>
  <si>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</si>
  <si>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</si>
  <si>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</si>
  <si>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</si>
  <si>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</si>
  <si>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</si>
  <si>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</si>
  <si>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</si>
  <si>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</si>
  <si>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</si>
  <si>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</si>
  <si>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</si>
  <si>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</si>
  <si>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</si>
  <si>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</si>
  <si>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</si>
  <si>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</si>
  <si>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</si>
  <si>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</si>
  <si>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</si>
  <si>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</si>
  <si>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</si>
  <si>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</si>
  <si>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</si>
  <si>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</si>
  <si>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</si>
  <si>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</si>
  <si>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</si>
  <si>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</si>
  <si>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</si>
  <si>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</si>
  <si>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</si>
  <si>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</si>
  <si>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</si>
  <si>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</si>
  <si>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</si>
  <si>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</si>
  <si>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</si>
  <si>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</si>
  <si>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</si>
  <si>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</si>
  <si>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</si>
  <si>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</si>
  <si>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</si>
  <si>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</si>
  <si>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</si>
  <si>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</si>
  <si>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</si>
  <si>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</si>
  <si>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</si>
  <si>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</si>
  <si>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</si>
  <si>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</si>
  <si>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</si>
  <si>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</si>
  <si>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</si>
  <si>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</si>
  <si>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</si>
  <si>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</si>
  <si>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</si>
  <si>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</si>
  <si>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</si>
  <si>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</si>
  <si>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</si>
  <si>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</si>
  <si>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</si>
  <si>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</si>
  <si>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</si>
  <si>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</si>
  <si>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</si>
  <si>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</si>
  <si>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</si>
  <si>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</si>
  <si>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</si>
  <si>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</si>
  <si>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</si>
  <si>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</si>
  <si>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</si>
  <si>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</si>
  <si>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</si>
  <si>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</si>
  <si>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</si>
  <si>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</si>
  <si>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</si>
  <si>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</si>
  <si>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</si>
  <si>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</si>
  <si>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</si>
  <si>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</si>
  <si>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</si>
  <si>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</si>
  <si>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</si>
  <si>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</si>
  <si>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</si>
  <si>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</si>
  <si>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</si>
  <si>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</si>
  <si>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</si>
  <si>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</si>
  <si>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</si>
  <si>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</si>
  <si>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</si>
  <si>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</si>
  <si>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</si>
  <si>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</si>
  <si>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</si>
  <si>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</si>
  <si>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</si>
  <si>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</si>
  <si>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</si>
  <si>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</si>
  <si>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</si>
  <si>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</si>
  <si>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</si>
  <si>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</si>
  <si>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</si>
  <si>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</si>
  <si>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</si>
  <si>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</si>
  <si>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</si>
  <si>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</si>
  <si>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</si>
  <si>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</si>
  <si>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</si>
  <si>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</si>
  <si>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</si>
  <si>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</si>
  <si>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</si>
  <si>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</si>
  <si>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</si>
  <si>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</si>
  <si>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</si>
  <si>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</si>
  <si>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</si>
  <si>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</si>
  <si>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</si>
  <si>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</si>
  <si>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</si>
  <si>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</si>
  <si>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</si>
  <si>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</si>
  <si>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</si>
  <si>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</si>
  <si>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</si>
  <si>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</si>
  <si>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</si>
  <si>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</si>
  <si>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</si>
  <si>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</si>
  <si>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</si>
  <si>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</si>
  <si>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</si>
  <si>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</si>
  <si>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</si>
  <si>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</si>
  <si>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</si>
  <si>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</si>
  <si>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</si>
  <si>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</si>
  <si>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</si>
  <si>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</si>
  <si>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</si>
  <si>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</si>
  <si>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</si>
  <si>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</si>
  <si>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</si>
  <si>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</si>
  <si>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</si>
  <si>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</si>
  <si>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</si>
  <si>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</si>
  <si>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</si>
  <si>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</si>
  <si>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</si>
  <si>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</si>
  <si>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</si>
  <si>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</si>
  <si>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</si>
  <si>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</si>
  <si>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</si>
  <si>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</si>
  <si>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</si>
  <si>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</si>
  <si>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</si>
  <si>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</si>
  <si>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</si>
  <si>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</si>
  <si>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</si>
  <si>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</si>
  <si>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</si>
  <si>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</si>
  <si>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</si>
  <si>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</si>
  <si>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</si>
  <si>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</si>
  <si>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</si>
  <si>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</si>
  <si>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</si>
  <si>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</si>
  <si>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</si>
  <si>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</si>
  <si>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</si>
  <si>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</si>
  <si>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</si>
  <si>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</si>
  <si>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</si>
  <si>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</si>
  <si>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</si>
  <si>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</si>
  <si>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</si>
  <si>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</si>
  <si>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</si>
  <si>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</si>
  <si>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</si>
  <si>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</si>
  <si>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</si>
  <si>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</si>
  <si>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</si>
  <si>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</si>
  <si>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</si>
  <si>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</si>
  <si>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</si>
  <si>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</si>
  <si>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</si>
  <si>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</si>
  <si>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</si>
  <si>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</si>
  <si>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</si>
  <si>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</si>
  <si>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</si>
  <si>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</si>
  <si>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</si>
  <si>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</si>
  <si>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</si>
  <si>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</si>
  <si>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</si>
  <si>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</si>
  <si>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</si>
  <si>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</si>
  <si>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</si>
  <si>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</si>
  <si>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</si>
  <si>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</si>
  <si>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</si>
  <si>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</si>
  <si>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</si>
  <si>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</si>
  <si>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</si>
  <si>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</si>
  <si>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</si>
  <si>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</si>
  <si>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</si>
  <si>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</si>
  <si>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</si>
  <si>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</si>
  <si>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</si>
  <si>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</si>
  <si>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</si>
  <si>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</si>
  <si>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</si>
  <si>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</si>
  <si>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</si>
  <si>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</si>
  <si>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</si>
  <si>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</si>
  <si>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</si>
  <si>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</si>
  <si>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</si>
  <si>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</si>
  <si>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</si>
  <si>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</si>
  <si>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</si>
  <si>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</si>
  <si>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</si>
  <si>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</si>
  <si>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</si>
  <si>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</si>
  <si>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</si>
  <si>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</si>
  <si>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</si>
  <si>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</si>
  <si>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</si>
  <si>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</si>
  <si>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</si>
  <si>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</si>
  <si>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</si>
  <si>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</si>
  <si>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</si>
  <si>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</si>
  <si>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</si>
  <si>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</si>
  <si>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</si>
  <si>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</si>
  <si>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</si>
  <si>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</si>
  <si>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</si>
  <si>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</si>
  <si>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</si>
  <si>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</si>
  <si>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</si>
  <si>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</si>
  <si>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</si>
  <si>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</si>
  <si>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</si>
  <si>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</si>
  <si>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</si>
  <si>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</si>
  <si>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</si>
  <si>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</si>
  <si>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</si>
  <si>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</si>
  <si>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</si>
  <si>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</si>
  <si>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</si>
  <si>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</si>
  <si>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</si>
  <si>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</si>
  <si>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</si>
  <si>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</si>
  <si>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</si>
  <si>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</si>
  <si>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</si>
  <si>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</si>
  <si>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</si>
  <si>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</si>
  <si>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</si>
  <si>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</si>
  <si>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</si>
  <si>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</si>
  <si>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</si>
  <si>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</si>
  <si>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</si>
  <si>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</si>
  <si>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</si>
  <si>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</si>
  <si>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</si>
  <si>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</si>
  <si>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</si>
  <si>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</si>
  <si>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</si>
  <si>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</si>
  <si>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</si>
  <si>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</si>
  <si>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</si>
  <si>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</si>
  <si>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</si>
  <si>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</si>
  <si>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</si>
  <si>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</si>
  <si>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</si>
  <si>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</si>
  <si>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</si>
  <si>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</si>
  <si>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</si>
  <si>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</si>
  <si>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</si>
  <si>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</si>
  <si>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</si>
  <si>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</si>
  <si>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</si>
  <si>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</si>
  <si>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</si>
  <si>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</si>
  <si>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</si>
  <si>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</si>
  <si>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</si>
  <si>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</si>
  <si>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</si>
  <si>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</si>
  <si>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</si>
  <si>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</si>
  <si>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</si>
  <si>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</si>
  <si>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</si>
  <si>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</si>
  <si>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</si>
  <si>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</si>
  <si>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</si>
  <si>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</si>
  <si>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</si>
  <si>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</si>
  <si>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</si>
  <si>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</si>
  <si>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</si>
  <si>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</si>
  <si>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</si>
  <si>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</si>
  <si>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</si>
  <si>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</si>
  <si>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</si>
  <si>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</si>
  <si>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</si>
  <si>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</si>
  <si>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</si>
  <si>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</si>
  <si>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</si>
  <si>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</si>
  <si>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</si>
  <si>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</si>
  <si>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</si>
  <si>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</si>
  <si>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</si>
  <si>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</si>
  <si>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</si>
  <si>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</si>
  <si>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</si>
  <si>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</si>
  <si>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</si>
  <si>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</si>
  <si>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</si>
  <si>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</si>
  <si>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</si>
  <si>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</si>
  <si>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</si>
  <si>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</si>
  <si>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</si>
  <si>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</si>
  <si>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</si>
  <si>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</si>
  <si>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</si>
  <si>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</si>
  <si>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</si>
  <si>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</si>
  <si>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</si>
  <si>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</si>
  <si>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</si>
  <si>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</si>
  <si>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</si>
  <si>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</si>
  <si>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</si>
  <si>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</si>
  <si>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</si>
  <si>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</si>
  <si>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</si>
  <si>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</si>
  <si>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</si>
  <si>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</si>
  <si>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</si>
  <si>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</si>
  <si>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</si>
  <si>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</si>
  <si>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</si>
  <si>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</si>
  <si>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</si>
  <si>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</si>
  <si>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</si>
  <si>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</si>
  <si>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</si>
  <si>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</si>
  <si>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</si>
  <si>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</si>
  <si>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</si>
  <si>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</si>
  <si>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</si>
  <si>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</si>
  <si>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</si>
  <si>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</si>
  <si>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</si>
  <si>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</si>
  <si>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</si>
  <si>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</si>
  <si>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</si>
  <si>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</si>
  <si>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</si>
  <si>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</si>
  <si>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</si>
  <si>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</si>
  <si>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</si>
  <si>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</si>
  <si>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</si>
  <si>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</si>
  <si>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</si>
  <si>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</si>
  <si>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</si>
  <si>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</si>
  <si>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</si>
  <si>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</si>
  <si>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</si>
  <si>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</si>
  <si>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</si>
  <si>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</si>
  <si>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</si>
  <si>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</si>
  <si>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</si>
  <si>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</si>
  <si>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</si>
  <si>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</si>
  <si>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</si>
  <si>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</si>
  <si>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</si>
  <si>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</si>
  <si>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</si>
  <si>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</si>
  <si>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</si>
  <si>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</si>
  <si>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</si>
  <si>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</si>
  <si>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</si>
  <si>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</si>
  <si>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</si>
  <si>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</si>
  <si>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</si>
  <si>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</si>
  <si>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</si>
  <si>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</si>
  <si>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</si>
  <si>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</si>
  <si>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</si>
  <si>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</si>
  <si>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</si>
  <si>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</si>
  <si>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</si>
  <si>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</si>
  <si>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</si>
  <si>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</si>
  <si>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</si>
  <si>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</si>
  <si>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</si>
  <si>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</si>
  <si>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</si>
  <si>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</si>
  <si>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</si>
  <si>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</si>
  <si>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</si>
  <si>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</si>
  <si>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</si>
  <si>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</si>
  <si>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</si>
  <si>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</si>
  <si>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</si>
  <si>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</si>
  <si>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</si>
  <si>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</si>
  <si>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</si>
  <si>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</si>
  <si>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</si>
  <si>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</si>
  <si>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</si>
  <si>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</si>
  <si>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</si>
  <si>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</si>
  <si>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</si>
  <si>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</si>
  <si>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</si>
  <si>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</si>
  <si>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</si>
  <si>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</si>
  <si>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</si>
  <si>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</si>
  <si>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</si>
  <si>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</si>
  <si>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</si>
  <si>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</si>
  <si>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</si>
  <si>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</si>
  <si>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</si>
  <si>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</si>
  <si>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</si>
  <si>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</si>
  <si>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</si>
  <si>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</si>
  <si>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</si>
  <si>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</si>
  <si>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</si>
  <si>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</si>
  <si>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</si>
  <si>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</si>
  <si>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</si>
  <si>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</si>
  <si>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</si>
  <si>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</si>
  <si>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</si>
  <si>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</si>
  <si>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</si>
  <si>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</si>
  <si>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</si>
  <si>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</si>
  <si>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</si>
  <si>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</si>
  <si>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</si>
  <si>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</si>
  <si>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</si>
  <si>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</si>
  <si>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</si>
  <si>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</si>
  <si>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</si>
  <si>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</si>
  <si>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</si>
  <si>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</si>
  <si>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</si>
  <si>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</si>
  <si>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</si>
  <si>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</si>
  <si>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</si>
  <si>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</si>
  <si>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</si>
  <si>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</si>
  <si>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</si>
  <si>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</si>
  <si>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</si>
  <si>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</si>
  <si>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</si>
  <si>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</si>
  <si>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</si>
  <si>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</si>
  <si>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</si>
  <si>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</si>
  <si>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</si>
  <si>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</si>
  <si>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</si>
  <si>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</si>
  <si>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</si>
  <si>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</si>
  <si>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</si>
  <si>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</si>
  <si>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</si>
  <si>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</si>
  <si>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</si>
  <si>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</si>
  <si>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</si>
  <si>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</si>
  <si>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</si>
  <si>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</si>
  <si>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</si>
  <si>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</si>
  <si>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</si>
  <si>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</si>
  <si>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</si>
  <si>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</si>
  <si>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</si>
  <si>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</si>
  <si>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</si>
  <si>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</si>
  <si>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</si>
  <si>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</si>
  <si>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</si>
  <si>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</si>
  <si>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</si>
  <si>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</si>
  <si>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</si>
  <si>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</si>
  <si>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</si>
  <si>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</si>
  <si>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</si>
  <si>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</si>
  <si>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</si>
  <si>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</si>
  <si>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</si>
  <si>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</si>
  <si>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</si>
  <si>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</si>
  <si>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</si>
  <si>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</si>
  <si>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</si>
  <si>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</si>
  <si>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</si>
  <si>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</si>
  <si>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</si>
  <si>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</si>
  <si>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</si>
  <si>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</si>
  <si>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</si>
  <si>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</si>
  <si>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</si>
  <si>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</si>
  <si>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</si>
  <si>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</si>
  <si>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</si>
  <si>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</si>
  <si>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</si>
  <si>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</si>
  <si>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</si>
  <si>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</si>
  <si>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</si>
  <si>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</si>
  <si>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</si>
  <si>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</si>
  <si>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</si>
  <si>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</si>
  <si>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</si>
  <si>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</si>
  <si>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</si>
  <si>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</si>
  <si>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</si>
  <si>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</si>
  <si>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</si>
  <si>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</si>
  <si>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</si>
  <si>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</si>
  <si>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</si>
  <si>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</si>
  <si>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</si>
  <si>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</si>
  <si>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</si>
  <si>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</si>
  <si>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</si>
  <si>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</si>
  <si>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</si>
  <si>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</si>
  <si>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</si>
  <si>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</si>
  <si>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</si>
  <si>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</si>
  <si>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</si>
  <si>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</si>
  <si>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</si>
  <si>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</si>
  <si>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</si>
  <si>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</si>
  <si>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</si>
  <si>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</si>
  <si>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</si>
  <si>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</si>
  <si>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</si>
  <si>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</si>
  <si>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</si>
  <si>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</si>
  <si>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</si>
  <si>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</si>
  <si>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</si>
  <si>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</si>
  <si>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</si>
  <si>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</si>
  <si>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</si>
  <si>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</si>
  <si>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</si>
  <si>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</si>
  <si>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</si>
  <si>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</si>
  <si>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</si>
  <si>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</si>
  <si>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</si>
  <si>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</si>
  <si>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</si>
  <si>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</si>
  <si>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</si>
  <si>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</si>
  <si>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</si>
  <si>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</si>
  <si>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</si>
  <si>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</si>
  <si>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</si>
  <si>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</si>
  <si>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</si>
  <si>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</si>
  <si>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</si>
  <si>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</si>
  <si>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</si>
  <si>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</si>
  <si>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</si>
  <si>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</si>
  <si>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</si>
  <si>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</si>
  <si>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</si>
  <si>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</si>
  <si>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</si>
  <si>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</si>
  <si>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</si>
  <si>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</si>
  <si>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</si>
  <si>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</si>
  <si>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</si>
  <si>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</si>
  <si>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</si>
  <si>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</si>
  <si>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</si>
  <si>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</si>
  <si>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</si>
  <si>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</si>
  <si>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</si>
  <si>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</si>
  <si>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</si>
  <si>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</si>
  <si>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</si>
  <si>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</si>
  <si>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</si>
  <si>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</si>
  <si>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</si>
  <si>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</si>
  <si>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</si>
  <si>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</si>
  <si>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</si>
  <si>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</si>
  <si>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</si>
  <si>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</si>
  <si>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</si>
  <si>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</si>
  <si>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</si>
  <si>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</si>
  <si>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</si>
  <si>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</si>
  <si>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</si>
  <si>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</si>
  <si>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</si>
  <si>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</si>
  <si>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</si>
  <si>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</si>
  <si>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</si>
  <si>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</si>
  <si>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</si>
  <si>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</si>
  <si>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</si>
  <si>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</si>
  <si>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</si>
  <si>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</si>
  <si>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</si>
  <si>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</si>
  <si>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</si>
  <si>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</si>
  <si>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</si>
  <si>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</si>
  <si>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</si>
  <si>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</si>
  <si>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</si>
  <si>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</si>
  <si>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</si>
  <si>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</si>
  <si>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</si>
  <si>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</si>
  <si>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</si>
  <si>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</si>
  <si>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</si>
  <si>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</si>
  <si>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</si>
  <si>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</si>
  <si>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</si>
  <si>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</si>
  <si>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</si>
  <si>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</si>
  <si>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</si>
  <si>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</si>
  <si>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</si>
  <si>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</si>
  <si>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</si>
  <si>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</si>
  <si>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</si>
  <si>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</si>
  <si>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</si>
  <si>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</si>
  <si>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</si>
  <si>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</si>
  <si>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</si>
  <si>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</si>
  <si>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</si>
  <si>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</si>
  <si>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</si>
  <si>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</si>
  <si>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</si>
  <si>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</si>
  <si>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</si>
  <si>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</si>
  <si>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</si>
  <si>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</si>
  <si>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</si>
  <si>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</si>
  <si>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</si>
  <si>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</si>
  <si>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</si>
  <si>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</si>
  <si>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</si>
  <si>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</si>
  <si>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</si>
  <si>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</si>
  <si>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</si>
  <si>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</si>
  <si>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</si>
  <si>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</si>
  <si>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</si>
  <si>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</si>
  <si>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</si>
  <si>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</si>
  <si>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</si>
  <si>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</si>
  <si>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</si>
  <si>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</si>
  <si>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</si>
  <si>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</si>
  <si>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</si>
  <si>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</si>
  <si>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</si>
  <si>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</si>
  <si>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</si>
  <si>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</si>
  <si>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</si>
  <si>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</si>
  <si>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</si>
  <si>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</si>
  <si>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</si>
  <si>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</si>
  <si>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</si>
  <si>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</si>
  <si>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</si>
  <si>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</si>
  <si>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</si>
  <si>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</si>
  <si>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</si>
  <si>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</si>
  <si>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</si>
  <si>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</si>
  <si>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</si>
  <si>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</si>
  <si>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</si>
  <si>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</si>
  <si>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</si>
  <si>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</si>
  <si>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</si>
  <si>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</si>
  <si>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</si>
  <si>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</si>
  <si>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</si>
  <si>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</si>
  <si>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</si>
  <si>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</si>
  <si>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</si>
  <si>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</si>
  <si>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</si>
  <si>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</si>
  <si>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</si>
  <si>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</si>
  <si>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</si>
  <si>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</si>
  <si>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</si>
  <si>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</si>
  <si>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</si>
  <si>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</si>
  <si>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</si>
  <si>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</si>
  <si>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</si>
  <si>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</si>
  <si>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</si>
  <si>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</si>
  <si>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</si>
  <si>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</si>
  <si>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</si>
  <si>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</si>
  <si>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</si>
  <si>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</si>
  <si>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</si>
  <si>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</si>
  <si>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</si>
  <si>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</si>
  <si>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</si>
  <si>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</si>
  <si>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</si>
  <si>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</si>
  <si>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</si>
  <si>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</si>
  <si>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</si>
  <si>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</si>
  <si>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</si>
  <si>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</si>
  <si>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</si>
  <si>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</si>
  <si>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</si>
  <si>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</si>
  <si>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</si>
  <si>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</si>
  <si>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</si>
  <si>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</si>
  <si>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</si>
  <si>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</si>
  <si>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</si>
  <si>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</si>
  <si>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</si>
  <si>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</si>
  <si>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</si>
  <si>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</si>
  <si>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</si>
  <si>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</si>
  <si>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</si>
  <si>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</si>
  <si>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</si>
  <si>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</si>
  <si>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</si>
  <si>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</si>
  <si>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</si>
  <si>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</si>
  <si>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</si>
  <si>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</si>
  <si>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</si>
  <si>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</si>
  <si>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</si>
  <si>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</si>
  <si>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</si>
  <si>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</si>
  <si>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</si>
  <si>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</si>
  <si>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</si>
  <si>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</si>
  <si>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</si>
  <si>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</si>
  <si>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</si>
  <si>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</si>
  <si>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</si>
  <si>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</si>
  <si>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</si>
  <si>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</si>
  <si>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</si>
  <si>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</si>
  <si>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</si>
  <si>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</si>
  <si>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</si>
  <si>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</si>
  <si>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</si>
  <si>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</si>
  <si>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</si>
  <si>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</si>
  <si>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</si>
  <si>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</si>
  <si>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</si>
  <si>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</si>
  <si>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</si>
  <si>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</si>
  <si>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</si>
  <si>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</si>
  <si>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</si>
  <si>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</si>
  <si>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</si>
  <si>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</si>
  <si>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</si>
  <si>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</si>
  <si>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</si>
  <si>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</si>
  <si>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</si>
  <si>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</si>
  <si>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</si>
  <si>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</si>
  <si>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</si>
  <si>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</si>
  <si>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</si>
  <si>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</si>
  <si>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</si>
  <si>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</si>
  <si>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</si>
  <si>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</si>
  <si>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</si>
  <si>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</si>
  <si>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</si>
  <si>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</si>
  <si>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</si>
  <si>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</si>
  <si>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</si>
  <si>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</si>
  <si>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</si>
  <si>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</si>
  <si>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</si>
  <si>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</si>
  <si>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</si>
  <si>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</si>
  <si>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</si>
  <si>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</si>
  <si>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</si>
  <si>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</si>
  <si>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</si>
  <si>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</si>
  <si>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</si>
  <si>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</si>
  <si>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</si>
  <si>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</si>
  <si>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</si>
  <si>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</si>
  <si>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</si>
  <si>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</si>
  <si>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</si>
  <si>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</si>
  <si>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</si>
  <si>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</si>
  <si>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</si>
  <si>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</si>
  <si>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</si>
  <si>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</si>
  <si>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</si>
  <si>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</si>
  <si>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</si>
  <si>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</si>
  <si>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</si>
  <si>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</si>
  <si>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</si>
  <si>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</si>
  <si>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</si>
  <si>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</si>
  <si>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</si>
  <si>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</si>
  <si>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</si>
  <si>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</si>
  <si>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</si>
  <si>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</si>
  <si>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</si>
  <si>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</si>
  <si>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</si>
  <si>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</si>
  <si>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</si>
  <si>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</si>
  <si>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</si>
  <si>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</si>
  <si>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</si>
  <si>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</si>
  <si>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</si>
  <si>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</si>
  <si>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</si>
  <si>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</si>
  <si>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</si>
  <si>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</si>
  <si>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</si>
  <si>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</si>
  <si>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</si>
  <si>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</si>
  <si>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</si>
  <si>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</si>
  <si>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</si>
  <si>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</si>
  <si>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</si>
  <si>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</si>
  <si>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</si>
  <si>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</si>
  <si>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</si>
  <si>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</si>
  <si>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</si>
  <si>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</si>
  <si>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</si>
  <si>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</si>
  <si>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</si>
  <si>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</si>
  <si>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</si>
  <si>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</si>
  <si>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</si>
  <si>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</si>
  <si>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</si>
  <si>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</si>
  <si>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</si>
  <si>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</si>
  <si>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</si>
  <si>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</si>
  <si>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</si>
  <si>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</si>
  <si>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</si>
  <si>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</si>
  <si>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</si>
  <si>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</si>
  <si>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</si>
  <si>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</si>
  <si>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</si>
  <si>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</si>
  <si>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</si>
  <si>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</si>
  <si>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</si>
  <si>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</si>
  <si>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</si>
  <si>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</si>
  <si>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</si>
  <si>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</si>
  <si>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</si>
  <si>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</si>
  <si>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</si>
  <si>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</si>
  <si>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</si>
  <si>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</si>
  <si>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</si>
  <si>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</si>
  <si>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</si>
  <si>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</si>
  <si>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</si>
  <si>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</si>
  <si>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</si>
  <si>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</si>
  <si>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</si>
  <si>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</si>
  <si>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</si>
  <si>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</si>
  <si>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</si>
  <si>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</si>
  <si>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</si>
  <si>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</si>
  <si>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</si>
  <si>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</si>
  <si>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</si>
  <si>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</si>
  <si>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</si>
  <si>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</si>
  <si>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</si>
  <si>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</si>
  <si>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</si>
  <si>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</si>
  <si>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</si>
  <si>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</si>
  <si>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</si>
  <si>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</si>
  <si>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</si>
  <si>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</si>
  <si>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</si>
  <si>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</si>
  <si>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</si>
  <si>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</si>
  <si>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</si>
  <si>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</si>
  <si>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</si>
  <si>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</si>
  <si>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</si>
  <si>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</si>
  <si>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</si>
  <si>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</si>
  <si>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</si>
  <si>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</si>
  <si>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</si>
  <si>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</si>
  <si>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</si>
  <si>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</si>
  <si>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</si>
  <si>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</si>
  <si>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</si>
  <si>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</si>
  <si>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</si>
  <si>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</si>
  <si>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</si>
  <si>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</si>
  <si>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</si>
  <si>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</si>
  <si>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</si>
  <si>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</si>
  <si>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</si>
  <si>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</si>
  <si>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</si>
  <si>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</si>
  <si>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</si>
  <si>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</si>
  <si>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</si>
  <si>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</si>
  <si>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</si>
  <si>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</si>
  <si>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</si>
  <si>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</si>
  <si>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</si>
  <si>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</si>
  <si>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</si>
  <si>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</si>
  <si>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</si>
  <si>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</si>
  <si>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</si>
  <si>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</si>
  <si>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</si>
  <si>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</si>
  <si>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</si>
  <si>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</si>
  <si>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</si>
  <si>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</si>
  <si>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</si>
  <si>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</si>
  <si>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</si>
  <si>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</si>
  <si>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</si>
  <si>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</si>
  <si>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</si>
  <si>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</si>
  <si>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</si>
  <si>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</si>
  <si>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</si>
  <si>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</si>
  <si>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</si>
  <si>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</si>
  <si>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</si>
  <si>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</si>
  <si>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</si>
  <si>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</si>
  <si>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</si>
  <si>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</si>
  <si>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</si>
  <si>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</si>
  <si>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</si>
  <si>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</si>
  <si>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</si>
  <si>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</si>
  <si>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</si>
  <si>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</si>
  <si>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</si>
  <si>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</si>
  <si>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</si>
  <si>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</si>
  <si>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</si>
  <si>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</si>
  <si>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</si>
  <si>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</si>
  <si>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</si>
  <si>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</si>
  <si>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</si>
  <si>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</si>
  <si>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</si>
  <si>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</si>
  <si>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</si>
  <si>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</si>
  <si>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</si>
  <si>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</si>
  <si>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</si>
  <si>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</si>
  <si>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</si>
  <si>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</si>
  <si>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</si>
  <si>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</si>
  <si>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</si>
  <si>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</si>
  <si>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</si>
  <si>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</si>
  <si>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</si>
  <si>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</si>
  <si>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</si>
  <si>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</si>
  <si>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</si>
  <si>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</si>
  <si>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</si>
  <si>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</si>
  <si>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</si>
  <si>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</si>
  <si>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</si>
  <si>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</si>
  <si>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</si>
  <si>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</si>
  <si>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</si>
  <si>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</si>
  <si>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</si>
  <si>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</si>
  <si>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</si>
  <si>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</si>
  <si>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</si>
  <si>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</si>
  <si>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</si>
  <si>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</si>
  <si>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</si>
  <si>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</si>
  <si>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</si>
  <si>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</si>
  <si>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</si>
  <si>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</si>
  <si>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</si>
  <si>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</si>
  <si>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</si>
  <si>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</si>
  <si>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</si>
  <si>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</si>
  <si>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</si>
  <si>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</si>
  <si>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</si>
  <si>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</si>
  <si>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</si>
  <si>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</si>
  <si>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</si>
  <si>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</si>
  <si>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</si>
  <si>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</si>
  <si>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</si>
  <si>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</si>
  <si>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</si>
  <si>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</si>
  <si>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</si>
  <si>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</si>
  <si>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</si>
  <si>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</si>
  <si>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</si>
  <si>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</si>
  <si>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</si>
  <si>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</si>
  <si>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</si>
  <si>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</si>
  <si>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</si>
  <si>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</si>
  <si>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</si>
  <si>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</si>
  <si>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</si>
  <si>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</si>
  <si>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</si>
  <si>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</si>
  <si>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</si>
  <si>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</si>
  <si>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</si>
  <si>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</si>
  <si>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</si>
  <si>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</si>
  <si>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</si>
  <si>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</si>
  <si>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</si>
  <si>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</si>
  <si>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</si>
  <si>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</si>
  <si>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</si>
  <si>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</si>
  <si>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</si>
  <si>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</si>
  <si>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</si>
  <si>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</si>
  <si>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</si>
  <si>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</si>
  <si>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</si>
  <si>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</si>
  <si>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</si>
  <si>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</si>
  <si>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</si>
  <si>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</si>
  <si>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</si>
  <si>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</si>
  <si>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</si>
  <si>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</si>
  <si>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</si>
  <si>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</si>
  <si>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</si>
  <si>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</si>
  <si>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</si>
  <si>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</si>
  <si>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</si>
  <si>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</si>
  <si>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</si>
  <si>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</si>
  <si>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</si>
  <si>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</si>
  <si>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</si>
  <si>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</si>
  <si>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</si>
  <si>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</si>
  <si>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</si>
  <si>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</si>
  <si>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</si>
  <si>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</si>
  <si>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</si>
  <si>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</si>
  <si>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</si>
  <si>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</si>
  <si>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</si>
  <si>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</si>
  <si>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</si>
  <si>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</si>
  <si>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</si>
  <si>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</si>
  <si>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</si>
  <si>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</si>
  <si>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</si>
  <si>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</si>
  <si>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</si>
  <si>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</si>
  <si>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</si>
  <si>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</si>
  <si>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</si>
  <si>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</si>
  <si>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</si>
  <si>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</si>
  <si>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</si>
  <si>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</si>
  <si>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</si>
  <si>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</si>
  <si>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</si>
  <si>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</si>
  <si>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</si>
  <si>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</si>
  <si>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</si>
  <si>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</si>
  <si>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</si>
  <si>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</si>
  <si>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</si>
  <si>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</si>
  <si>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</si>
  <si>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</si>
  <si>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</si>
  <si>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</si>
  <si>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</si>
  <si>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</si>
  <si>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</si>
  <si>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</si>
  <si>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</si>
  <si>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</si>
  <si>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</si>
  <si>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</si>
  <si>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</si>
  <si>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</si>
  <si>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</si>
  <si>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</si>
  <si>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</si>
  <si>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</si>
  <si>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</si>
  <si>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</si>
  <si>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</si>
  <si>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</si>
  <si>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</si>
  <si>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</si>
  <si>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</si>
  <si>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</si>
  <si>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</si>
  <si>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</si>
  <si>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</si>
  <si>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</si>
  <si>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</si>
  <si>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</si>
  <si>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</si>
  <si>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</si>
  <si>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</si>
  <si>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</si>
  <si>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</si>
  <si>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</si>
  <si>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</si>
  <si>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</si>
  <si>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</si>
  <si>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</si>
  <si>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</si>
  <si>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</si>
  <si>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</si>
  <si>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</si>
  <si>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</si>
  <si>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</si>
  <si>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</si>
  <si>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</si>
  <si>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</si>
  <si>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</si>
  <si>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</si>
  <si>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</si>
  <si>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</si>
  <si>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</si>
  <si>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</si>
  <si>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</si>
  <si>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</si>
  <si>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</si>
  <si>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</si>
  <si>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</si>
  <si>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</si>
  <si>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</si>
  <si>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</si>
  <si>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</si>
  <si>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</si>
  <si>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</si>
  <si>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</si>
  <si>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</si>
  <si>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</si>
  <si>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</si>
  <si>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</si>
  <si>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</si>
  <si>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</si>
  <si>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</si>
  <si>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</si>
  <si>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</si>
  <si>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</si>
  <si>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</si>
  <si>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</si>
  <si>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</si>
  <si>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</si>
  <si>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</si>
  <si>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</si>
  <si>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</si>
  <si>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</si>
  <si>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</si>
  <si>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</si>
  <si>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</si>
  <si>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</si>
  <si>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</si>
  <si>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</si>
  <si>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</si>
  <si>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</si>
  <si>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</si>
  <si>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</si>
  <si>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</si>
  <si>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</si>
  <si>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</si>
  <si>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</si>
  <si>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</si>
  <si>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</si>
  <si>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</si>
  <si>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</si>
  <si>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</si>
  <si>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</si>
  <si>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</si>
  <si>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</si>
  <si>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</si>
  <si>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</si>
  <si>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</si>
  <si>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</si>
  <si>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</si>
  <si>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</si>
  <si>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</si>
  <si>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</si>
  <si>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</si>
  <si>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</si>
  <si>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</si>
  <si>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</si>
  <si>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</si>
  <si>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</si>
  <si>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</si>
  <si>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</si>
  <si>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</si>
  <si>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</si>
  <si>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</si>
  <si>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</si>
  <si>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</si>
  <si>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</si>
  <si>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</si>
  <si>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</si>
  <si>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</si>
  <si>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</si>
  <si>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</si>
  <si>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</si>
  <si>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</si>
  <si>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</si>
  <si>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</si>
  <si>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</si>
  <si>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</si>
  <si>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</si>
  <si>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</si>
  <si>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</si>
  <si>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</si>
  <si>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</si>
  <si>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</si>
  <si>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</si>
  <si>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</si>
  <si>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</si>
  <si>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</si>
  <si>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</si>
  <si>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</si>
  <si>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</si>
  <si>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</si>
  <si>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</si>
  <si>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</si>
  <si>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</si>
  <si>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</si>
  <si>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</si>
  <si>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</si>
  <si>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</si>
  <si>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</si>
  <si>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</si>
  <si>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</si>
  <si>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</si>
  <si>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</si>
  <si>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</si>
  <si>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</si>
  <si>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</si>
  <si>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</si>
  <si>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</si>
  <si>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</si>
  <si>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</si>
  <si>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</si>
  <si>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</si>
  <si>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</si>
  <si>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</si>
  <si>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</si>
  <si>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</si>
  <si>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</si>
  <si>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</si>
  <si>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</si>
  <si>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</si>
  <si>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</si>
  <si>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</si>
  <si>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</si>
  <si>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</si>
  <si>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</si>
  <si>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</si>
  <si>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</si>
  <si>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</si>
  <si>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</si>
  <si>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</si>
  <si>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</si>
  <si>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</si>
  <si>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</si>
  <si>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</si>
  <si>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</si>
  <si>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</si>
  <si>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</si>
  <si>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</si>
  <si>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</si>
  <si>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</si>
  <si>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</si>
  <si>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</si>
  <si>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</si>
  <si>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</si>
  <si>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</si>
  <si>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</si>
  <si>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</si>
  <si>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</si>
  <si>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</si>
  <si>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</si>
  <si>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</si>
  <si>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</si>
  <si>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</si>
  <si>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</si>
  <si>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</si>
  <si>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</si>
  <si>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</si>
  <si>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</si>
  <si>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</si>
  <si>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</si>
  <si>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</si>
  <si>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</si>
  <si>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</si>
  <si>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</si>
  <si>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</si>
  <si>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</si>
  <si>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</si>
  <si>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</si>
  <si>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</si>
  <si>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</si>
  <si>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</si>
  <si>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</si>
  <si>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</si>
  <si>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</si>
  <si>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</si>
  <si>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</si>
  <si>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</si>
  <si>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</si>
  <si>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</si>
  <si>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</si>
  <si>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</si>
  <si>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</si>
  <si>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</si>
  <si>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</si>
  <si>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</si>
  <si>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</si>
  <si>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</si>
  <si>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</si>
  <si>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</si>
  <si>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</si>
  <si>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</si>
  <si>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</si>
  <si>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</si>
  <si>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</si>
  <si>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</si>
  <si>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</si>
  <si>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</si>
  <si>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</si>
  <si>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</si>
  <si>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</si>
  <si>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</si>
  <si>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</si>
  <si>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</si>
  <si>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</si>
  <si>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</si>
  <si>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</si>
  <si>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</si>
  <si>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</si>
  <si>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</si>
  <si>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</si>
  <si>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</si>
  <si>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</si>
  <si>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</si>
  <si>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</si>
  <si>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</si>
  <si>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</si>
  <si>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</si>
  <si>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</si>
  <si>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</si>
  <si>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</si>
  <si>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</si>
  <si>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</si>
  <si>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</si>
  <si>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</si>
  <si>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</si>
  <si>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</si>
  <si>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</si>
  <si>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</si>
  <si>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</si>
  <si>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</si>
  <si>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</si>
  <si>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</si>
  <si>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</si>
  <si>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</si>
  <si>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</si>
  <si>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</si>
  <si>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</si>
  <si>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</si>
  <si>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</si>
  <si>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</si>
  <si>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</si>
  <si>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</si>
  <si>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</si>
  <si>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</si>
  <si>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</si>
  <si>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</si>
  <si>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</si>
  <si>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</si>
  <si>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</si>
  <si>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</si>
  <si>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</si>
  <si>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</si>
  <si>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</si>
  <si>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</si>
  <si>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</si>
  <si>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</si>
  <si>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</si>
  <si>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</si>
  <si>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</si>
  <si>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</si>
  <si>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</si>
  <si>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</si>
  <si>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</si>
  <si>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</si>
  <si>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</si>
  <si>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</si>
  <si>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</si>
  <si>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</si>
  <si>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</si>
  <si>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</si>
  <si>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</si>
  <si>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</si>
  <si>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</si>
  <si>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</si>
  <si>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</si>
  <si>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</si>
  <si>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</si>
  <si>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</si>
  <si>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</si>
  <si>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</si>
  <si>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</si>
  <si>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</si>
  <si>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</si>
  <si>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</si>
  <si>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</si>
  <si>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</si>
  <si>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</si>
  <si>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</si>
  <si>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</si>
  <si>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</si>
  <si>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</si>
  <si>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</si>
  <si>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</si>
  <si>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</si>
  <si>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</si>
  <si>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</si>
  <si>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</si>
  <si>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</si>
  <si>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</si>
  <si>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</si>
  <si>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</si>
  <si>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</si>
  <si>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</si>
  <si>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</si>
  <si>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</si>
  <si>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</si>
  <si>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</si>
  <si>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</si>
  <si>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</si>
  <si>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</si>
  <si>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</si>
  <si>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</si>
  <si>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</si>
  <si>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</si>
  <si>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</si>
  <si>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</si>
  <si>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</si>
  <si>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</si>
  <si>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</si>
  <si>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</si>
  <si>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</si>
  <si>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</si>
  <si>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</si>
  <si>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</si>
  <si>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</si>
  <si>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</si>
  <si>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</si>
  <si>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</si>
  <si>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</si>
  <si>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</si>
  <si>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</si>
  <si>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</si>
  <si>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</si>
  <si>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</si>
  <si>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</si>
  <si>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</si>
  <si>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</si>
  <si>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</si>
  <si>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</si>
  <si>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</si>
  <si>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</si>
  <si>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</si>
  <si>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</si>
  <si>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</si>
  <si>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</si>
  <si>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</si>
  <si>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</si>
  <si>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</si>
  <si>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</si>
  <si>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</si>
  <si>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</si>
  <si>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</si>
  <si>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</si>
  <si>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</si>
  <si>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</si>
  <si>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</si>
  <si>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</si>
  <si>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</si>
  <si>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</si>
  <si>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</si>
  <si>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</si>
  <si>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</si>
  <si>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</si>
  <si>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</si>
  <si>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</si>
  <si>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</si>
  <si>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</si>
  <si>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</si>
  <si>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</si>
  <si>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</si>
  <si>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</si>
  <si>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</si>
  <si>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</si>
  <si>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</si>
  <si>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</si>
  <si>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</si>
  <si>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</si>
  <si>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</si>
  <si>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</si>
  <si>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</si>
  <si>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</si>
  <si>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</si>
  <si>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</si>
  <si>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</si>
  <si>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</si>
  <si>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</si>
  <si>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</si>
  <si>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</si>
  <si>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</si>
  <si>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</si>
  <si>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</si>
  <si>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</si>
  <si>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</si>
  <si>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</si>
  <si>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</si>
  <si>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</si>
  <si>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</si>
  <si>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</si>
  <si>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</si>
  <si>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</si>
  <si>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</si>
  <si>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</si>
  <si>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</si>
  <si>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</si>
  <si>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</si>
  <si>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</si>
  <si>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</si>
  <si>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</si>
  <si>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</si>
  <si>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</si>
  <si>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</si>
  <si>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</si>
  <si>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</si>
  <si>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</si>
  <si>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</si>
  <si>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</si>
  <si>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</si>
  <si>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</si>
  <si>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</si>
  <si>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</si>
  <si>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</si>
  <si>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</si>
  <si>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</si>
  <si>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</si>
  <si>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</si>
  <si>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</si>
  <si>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</si>
  <si>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</si>
  <si>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</si>
  <si>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</si>
  <si>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</si>
  <si>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</si>
  <si>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</si>
  <si>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</si>
  <si>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</si>
  <si>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</si>
  <si>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</si>
  <si>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</si>
  <si>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</si>
  <si>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</si>
  <si>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</si>
  <si>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</si>
  <si>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</si>
  <si>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</si>
  <si>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</si>
  <si>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</si>
  <si>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</si>
  <si>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</si>
  <si>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</si>
  <si>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</si>
  <si>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</si>
  <si>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</si>
  <si>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</si>
  <si>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</si>
  <si>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</si>
  <si>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</si>
  <si>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</si>
  <si>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</si>
  <si>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</si>
  <si>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</si>
  <si>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</si>
  <si>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</si>
  <si>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</si>
  <si>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</si>
  <si>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</si>
  <si>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</si>
  <si>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</si>
  <si>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</si>
  <si>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</si>
  <si>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</si>
  <si>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</si>
  <si>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</si>
  <si>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</si>
  <si>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</si>
  <si>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</si>
  <si>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</si>
  <si>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</si>
  <si>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</si>
  <si>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</si>
  <si>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</si>
  <si>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</si>
  <si>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</si>
  <si>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</si>
  <si>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</si>
  <si>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</si>
  <si>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</si>
  <si>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</si>
  <si>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</si>
  <si>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</si>
  <si>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</si>
  <si>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</si>
  <si>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</si>
  <si>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</si>
  <si>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</si>
  <si>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</si>
  <si>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</si>
  <si>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</si>
  <si>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</si>
  <si>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</si>
  <si>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</si>
  <si>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</si>
  <si>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</si>
  <si>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</si>
  <si>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</si>
  <si>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</si>
  <si>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</si>
  <si>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</si>
  <si>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</si>
  <si>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</si>
  <si>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</si>
  <si>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</si>
  <si>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</si>
  <si>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</si>
  <si>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</si>
  <si>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</si>
  <si>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</si>
  <si>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</si>
  <si>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</si>
  <si>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</si>
  <si>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</si>
  <si>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</si>
  <si>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</si>
  <si>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</si>
  <si>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</si>
  <si>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</si>
  <si>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</si>
  <si>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</si>
  <si>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</si>
  <si>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</si>
  <si>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</si>
  <si>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</si>
  <si>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</si>
  <si>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</si>
  <si>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</si>
  <si>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</si>
  <si>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</si>
  <si>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</si>
  <si>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</si>
  <si>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</si>
  <si>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</si>
  <si>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</si>
  <si>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</si>
  <si>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</si>
  <si>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</si>
  <si>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</si>
  <si>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</si>
  <si>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</si>
  <si>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</si>
  <si>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</si>
  <si>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</si>
  <si>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</si>
  <si>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</si>
  <si>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</si>
  <si>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</si>
  <si>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</si>
  <si>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</si>
  <si>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</si>
  <si>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</si>
  <si>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</si>
  <si>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</si>
  <si>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</si>
  <si>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</si>
  <si>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</si>
  <si>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</si>
  <si>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</si>
  <si>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</si>
  <si>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</si>
  <si>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</si>
  <si>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</si>
  <si>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</si>
  <si>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</si>
  <si>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</si>
  <si>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</si>
  <si>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</si>
  <si>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</si>
  <si>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</si>
  <si>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</si>
  <si>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</si>
  <si>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</si>
  <si>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</si>
  <si>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</si>
  <si>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</si>
  <si>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</si>
  <si>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</si>
  <si>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</si>
  <si>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</si>
  <si>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</si>
  <si>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</si>
  <si>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</si>
  <si>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</si>
  <si>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</si>
  <si>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</si>
  <si>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</si>
  <si>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</si>
  <si>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</si>
  <si>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</si>
  <si>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</si>
  <si>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</si>
  <si>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</si>
  <si>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</si>
  <si>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</si>
  <si>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</si>
  <si>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</si>
  <si>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</si>
  <si>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</si>
  <si>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</si>
  <si>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</si>
  <si>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</si>
  <si>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</si>
  <si>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</si>
  <si>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</si>
  <si>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</si>
  <si>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</si>
  <si>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</si>
  <si>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</si>
  <si>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</si>
  <si>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</si>
  <si>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</si>
  <si>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</si>
  <si>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</si>
  <si>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</si>
  <si>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</si>
  <si>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</si>
  <si>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</si>
  <si>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</si>
  <si>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</si>
  <si>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</si>
  <si>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</si>
  <si>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</si>
  <si>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</si>
  <si>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</si>
  <si>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</si>
  <si>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</si>
  <si>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</si>
  <si>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</si>
  <si>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</si>
  <si>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</si>
  <si>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</si>
  <si>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</si>
  <si>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</si>
  <si>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</si>
  <si>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</si>
  <si>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</si>
  <si>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</si>
  <si>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</si>
  <si>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</si>
  <si>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</si>
  <si>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</si>
  <si>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</si>
  <si>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</si>
  <si>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</si>
  <si>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</si>
  <si>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</si>
  <si>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</si>
  <si>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</si>
  <si>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</si>
  <si>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</si>
  <si>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</si>
  <si>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</si>
  <si>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</si>
  <si>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</si>
  <si>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</si>
  <si>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</si>
  <si>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</si>
  <si>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</si>
  <si>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</si>
  <si>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</si>
  <si>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</si>
  <si>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</si>
  <si>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</si>
  <si>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</si>
  <si>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</si>
  <si>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</si>
  <si>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</si>
  <si>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</si>
  <si>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</si>
  <si>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</si>
  <si>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</si>
  <si>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</si>
  <si>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</si>
  <si>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</si>
  <si>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</si>
  <si>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</si>
  <si>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</si>
  <si>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</si>
  <si>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</si>
  <si>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</si>
  <si>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</si>
  <si>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</si>
  <si>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</si>
  <si>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</si>
  <si>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</si>
  <si>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</si>
  <si>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</si>
  <si>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</si>
  <si>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</si>
  <si>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</si>
  <si>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</si>
  <si>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</si>
  <si>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</si>
  <si>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</si>
  <si>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</si>
  <si>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</si>
  <si>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</si>
  <si>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</si>
  <si>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</si>
  <si>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</si>
  <si>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</si>
  <si>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</si>
  <si>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</si>
  <si>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</si>
  <si>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</si>
  <si>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</si>
  <si>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</si>
  <si>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</si>
  <si>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</si>
  <si>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</si>
  <si>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</si>
  <si>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</si>
  <si>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</si>
  <si>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</si>
  <si>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</si>
  <si>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</si>
  <si>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</si>
  <si>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</si>
  <si>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</si>
  <si>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</si>
  <si>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</si>
  <si>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</si>
  <si>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</si>
  <si>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</si>
  <si>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</si>
  <si>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</si>
  <si>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</si>
  <si>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</si>
  <si>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</si>
  <si>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</si>
  <si>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</si>
  <si>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</si>
  <si>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</si>
  <si>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</si>
  <si>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</si>
  <si>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</si>
  <si>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</si>
  <si>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</si>
  <si>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</si>
  <si>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</si>
  <si>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</si>
  <si>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</si>
  <si>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</si>
  <si>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</si>
  <si>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</si>
  <si>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</si>
  <si>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</si>
  <si>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</si>
  <si>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</si>
  <si>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</si>
  <si>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</si>
  <si>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</si>
  <si>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</si>
  <si>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</si>
  <si>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</si>
  <si>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</si>
  <si>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</si>
  <si>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</si>
  <si>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</si>
  <si>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</si>
  <si>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</si>
  <si>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</si>
  <si>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</si>
  <si>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</si>
  <si>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</si>
  <si>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</si>
  <si>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</si>
  <si>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</si>
  <si>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</si>
  <si>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</si>
  <si>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</si>
  <si>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</si>
  <si>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</si>
  <si>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</si>
  <si>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</si>
  <si>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</si>
  <si>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</si>
  <si>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</si>
  <si>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</si>
  <si>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</si>
  <si>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</si>
  <si>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</si>
  <si>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</si>
  <si>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</si>
  <si>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</si>
  <si>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</si>
  <si>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</si>
  <si>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</si>
  <si>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</si>
  <si>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</si>
  <si>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</si>
  <si>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</si>
  <si>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</si>
  <si>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</si>
  <si>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</si>
  <si>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</si>
  <si>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</si>
  <si>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</si>
  <si>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</si>
  <si>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</si>
  <si>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</si>
  <si>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</si>
  <si>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</si>
  <si>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</si>
  <si>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</si>
  <si>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</si>
  <si>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</si>
  <si>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</si>
  <si>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</si>
  <si>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</si>
  <si>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</si>
  <si>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</si>
  <si>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</si>
  <si>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</si>
  <si>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</si>
  <si>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</si>
  <si>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</si>
  <si>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</si>
  <si>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</si>
  <si>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</si>
  <si>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</si>
  <si>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</si>
  <si>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</si>
  <si>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</si>
  <si>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</si>
  <si>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</si>
  <si>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</si>
  <si>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</si>
  <si>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</si>
  <si>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</si>
  <si>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</si>
  <si>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</si>
  <si>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</si>
  <si>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</si>
  <si>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</si>
  <si>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</si>
  <si>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</si>
  <si>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</si>
  <si>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</si>
  <si>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</si>
  <si>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</si>
  <si>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</si>
  <si>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</si>
  <si>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</si>
  <si>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</si>
  <si>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</si>
  <si>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</si>
  <si>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</si>
  <si>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</si>
  <si>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</si>
  <si>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</si>
  <si>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</si>
  <si>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</si>
  <si>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</si>
  <si>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</si>
  <si>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</si>
  <si>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</si>
  <si>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</si>
  <si>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</si>
  <si>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</si>
  <si>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</si>
  <si>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</si>
  <si>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</si>
  <si>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</si>
  <si>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</si>
  <si>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</si>
  <si>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</si>
  <si>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</si>
  <si>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</si>
  <si>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</si>
  <si>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</si>
  <si>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</si>
  <si>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</si>
  <si>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</si>
  <si>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</si>
  <si>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</si>
  <si>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</si>
  <si>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</si>
  <si>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</si>
  <si>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</si>
  <si>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</si>
  <si>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</si>
  <si>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</si>
  <si>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</si>
  <si>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</si>
  <si>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</si>
  <si>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</si>
  <si>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</si>
  <si>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</si>
  <si>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</si>
  <si>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</si>
  <si>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</si>
  <si>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</si>
  <si>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</si>
  <si>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</si>
  <si>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</si>
  <si>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</si>
  <si>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</si>
  <si>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</si>
  <si>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</si>
  <si>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</si>
  <si>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</si>
  <si>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</si>
  <si>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</si>
  <si>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</si>
  <si>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</si>
  <si>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</si>
  <si>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</si>
  <si>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</si>
  <si>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</si>
  <si>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</si>
  <si>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</si>
  <si>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</si>
  <si>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</si>
  <si>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</si>
  <si>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</si>
  <si>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</si>
  <si>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</si>
  <si>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</si>
  <si>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</si>
  <si>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</si>
  <si>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</si>
  <si>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</si>
  <si>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</si>
  <si>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</si>
  <si>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</si>
  <si>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</si>
  <si>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</si>
  <si>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</si>
  <si>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</si>
  <si>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</si>
  <si>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</si>
  <si>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</si>
  <si>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</si>
  <si>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</si>
  <si>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</si>
  <si>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</si>
  <si>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</si>
  <si>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</si>
  <si>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</si>
  <si>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</si>
  <si>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</si>
  <si>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</si>
  <si>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</si>
  <si>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</si>
  <si>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</si>
  <si>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</si>
  <si>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</si>
  <si>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</si>
  <si>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</si>
  <si>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</si>
  <si>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</si>
  <si>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</si>
  <si>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</si>
  <si>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</si>
  <si>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</si>
  <si>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</si>
  <si>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</si>
  <si>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</si>
  <si>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</si>
  <si>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</si>
  <si>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</si>
  <si>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</si>
  <si>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</si>
  <si>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</si>
  <si>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</si>
  <si>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</si>
  <si>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</si>
  <si>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</si>
  <si>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</si>
  <si>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</si>
  <si>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</si>
  <si>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</si>
  <si>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</si>
  <si>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</si>
  <si>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</si>
  <si>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</si>
  <si>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</si>
  <si>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</si>
  <si>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</si>
  <si>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</si>
  <si>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</si>
  <si>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</si>
  <si>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</si>
  <si>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</si>
  <si>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</si>
  <si>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</si>
  <si>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</si>
  <si>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</si>
  <si>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</si>
  <si>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</si>
  <si>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</si>
  <si>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</si>
  <si>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</si>
  <si>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</si>
  <si>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</si>
  <si>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</si>
  <si>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</si>
  <si>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</si>
  <si>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</si>
  <si>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</si>
  <si>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</si>
  <si>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</si>
  <si>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</si>
  <si>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</si>
  <si>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</si>
  <si>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</si>
  <si>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</si>
  <si>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</si>
  <si>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</si>
  <si>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</si>
  <si>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</si>
  <si>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</si>
  <si>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</si>
  <si>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</si>
  <si>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</si>
  <si>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</si>
  <si>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</si>
  <si>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</si>
  <si>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</si>
  <si>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</si>
  <si>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</si>
  <si>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</si>
  <si>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</si>
  <si>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</si>
  <si>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</si>
  <si>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</si>
  <si>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</si>
  <si>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</si>
  <si>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</si>
  <si>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</si>
  <si>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</si>
  <si>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</si>
  <si>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</si>
  <si>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</si>
  <si>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</si>
  <si>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</si>
  <si>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</si>
  <si>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</si>
  <si>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</si>
  <si>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</si>
  <si>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</si>
  <si>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</si>
  <si>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</si>
  <si>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</si>
  <si>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</si>
  <si>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</si>
  <si>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</si>
  <si>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</si>
  <si>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</si>
  <si>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</si>
  <si>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</si>
  <si>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</si>
  <si>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</si>
  <si>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</si>
  <si>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</si>
  <si>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</si>
  <si>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</si>
  <si>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</si>
  <si>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</si>
  <si>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</si>
  <si>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</si>
  <si>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</si>
  <si>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</si>
  <si>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</si>
  <si>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</si>
  <si>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</si>
  <si>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</si>
  <si>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</si>
  <si>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</si>
  <si>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</si>
  <si>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</si>
  <si>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</si>
  <si>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</si>
  <si>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</si>
  <si>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</si>
  <si>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</si>
  <si>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</si>
  <si>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</si>
  <si>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</si>
  <si>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</si>
  <si>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</si>
  <si>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</si>
  <si>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</si>
  <si>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</si>
  <si>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</si>
  <si>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</si>
  <si>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</si>
  <si>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</si>
  <si>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</si>
  <si>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</si>
  <si>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</si>
  <si>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</si>
  <si>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</si>
  <si>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</si>
  <si>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</si>
  <si>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</si>
  <si>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</si>
  <si>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</si>
  <si>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</si>
  <si>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</si>
  <si>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</si>
  <si>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</si>
  <si>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</si>
  <si>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</si>
  <si>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</si>
  <si>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</si>
  <si>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</si>
  <si>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</si>
  <si>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</si>
  <si>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</si>
  <si>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</si>
  <si>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</si>
  <si>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</si>
  <si>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</si>
  <si>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</si>
  <si>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</si>
  <si>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</si>
  <si>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</si>
  <si>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</si>
  <si>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</si>
  <si>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</si>
  <si>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</si>
  <si>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</si>
  <si>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</si>
  <si>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</si>
  <si>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</si>
  <si>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</si>
  <si>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</si>
  <si>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</si>
  <si>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</si>
  <si>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</si>
  <si>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</si>
  <si>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</si>
  <si>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</si>
  <si>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</si>
  <si>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</si>
  <si>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</si>
  <si>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</si>
  <si>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</si>
  <si>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</si>
  <si>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</si>
  <si>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</si>
  <si>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</si>
  <si>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</si>
  <si>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</si>
  <si>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</si>
  <si>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</si>
  <si>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</si>
  <si>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</si>
  <si>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</si>
  <si>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</si>
  <si>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</si>
  <si>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</si>
  <si>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</si>
  <si>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</si>
  <si>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</si>
  <si>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</si>
  <si>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</si>
  <si>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</si>
  <si>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</si>
  <si>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</si>
  <si>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</si>
  <si>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</si>
  <si>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</si>
  <si>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</si>
  <si>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</si>
  <si>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</si>
  <si>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</si>
  <si>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</si>
  <si>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</si>
  <si>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</si>
  <si>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</si>
  <si>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</si>
  <si>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</si>
  <si>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</si>
  <si>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</si>
  <si>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</si>
  <si>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</si>
  <si>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</si>
  <si>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</si>
  <si>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</si>
  <si>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</si>
  <si>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</si>
  <si>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</si>
  <si>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</si>
  <si>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</si>
  <si>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</si>
  <si>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</si>
  <si>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</si>
  <si>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</si>
  <si>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</si>
  <si>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</si>
  <si>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</si>
  <si>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</si>
  <si>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</si>
  <si>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</si>
  <si>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</si>
  <si>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</si>
  <si>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</si>
  <si>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</si>
  <si>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</si>
  <si>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</si>
  <si>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</si>
  <si>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</si>
  <si>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</si>
  <si>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</si>
  <si>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</si>
  <si>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</si>
  <si>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</si>
  <si>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</si>
  <si>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</si>
  <si>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</si>
  <si>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</si>
  <si>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</si>
  <si>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</si>
  <si>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</si>
  <si>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</si>
  <si>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</si>
  <si>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</si>
  <si>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</si>
  <si>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</si>
  <si>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</si>
  <si>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</si>
  <si>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</si>
  <si>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</si>
  <si>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</si>
  <si>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</si>
  <si>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</si>
  <si>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</si>
  <si>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</si>
  <si>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</si>
  <si>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</si>
  <si>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</si>
  <si>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</si>
  <si>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</si>
  <si>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</si>
  <si>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</si>
  <si>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</si>
  <si>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</si>
  <si>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</si>
  <si>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</si>
  <si>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</si>
  <si>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</si>
  <si>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</si>
  <si>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</si>
  <si>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</si>
  <si>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</si>
  <si>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</si>
  <si>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</si>
  <si>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</si>
  <si>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</si>
  <si>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</si>
  <si>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</si>
  <si>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</si>
  <si>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</si>
  <si>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</si>
  <si>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</si>
  <si>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</si>
  <si>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</si>
  <si>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</si>
  <si>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</si>
  <si>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</si>
  <si>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</si>
  <si>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</si>
  <si>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</si>
  <si>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</si>
  <si>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</si>
  <si>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</si>
  <si>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</si>
  <si>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</si>
  <si>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</si>
  <si>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</si>
  <si>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</si>
  <si>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</si>
  <si>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</si>
  <si>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</si>
  <si>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</si>
  <si>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</si>
  <si>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</si>
  <si>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</si>
  <si>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</si>
  <si>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</si>
  <si>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</si>
  <si>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</si>
  <si>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</si>
  <si>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</si>
  <si>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</si>
  <si>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</si>
  <si>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</si>
  <si>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</si>
  <si>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</si>
  <si>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</si>
  <si>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</si>
  <si>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</si>
  <si>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</si>
  <si>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</si>
  <si>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</si>
  <si>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</si>
  <si>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</si>
  <si>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</si>
  <si>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</si>
  <si>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</si>
  <si>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</si>
  <si>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</si>
  <si>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</si>
  <si>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</si>
  <si>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</si>
  <si>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</si>
  <si>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</si>
  <si>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</si>
  <si>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</si>
  <si>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</si>
  <si>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</si>
  <si>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</si>
  <si>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</si>
  <si>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</si>
  <si>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</si>
  <si>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</si>
  <si>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</si>
  <si>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</si>
  <si>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</si>
  <si>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</si>
  <si>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</si>
  <si>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</si>
  <si>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</si>
  <si>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</si>
  <si>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</si>
  <si>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</si>
  <si>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</si>
  <si>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</si>
  <si>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</si>
  <si>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</si>
  <si>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</si>
  <si>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</si>
  <si>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</si>
  <si>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</si>
  <si>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</si>
  <si>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</si>
  <si>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</si>
  <si>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</si>
  <si>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</si>
  <si>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</si>
  <si>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</si>
  <si>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</si>
  <si>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</si>
  <si>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</si>
  <si>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</si>
  <si>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</si>
  <si>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</si>
  <si>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</si>
  <si>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</si>
  <si>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</si>
  <si>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</si>
  <si>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</si>
  <si>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</si>
  <si>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</si>
  <si>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</si>
  <si>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</si>
  <si>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</si>
  <si>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</si>
  <si>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</si>
  <si>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</si>
  <si>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</si>
  <si>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</si>
  <si>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</si>
  <si>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</si>
  <si>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</si>
  <si>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</si>
  <si>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</si>
  <si>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</si>
  <si>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</si>
  <si>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</si>
  <si>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</si>
  <si>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</si>
  <si>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</si>
  <si>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</si>
  <si>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</si>
  <si>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</si>
  <si>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</si>
  <si>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</si>
  <si>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</si>
  <si>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</si>
  <si>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</si>
  <si>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</si>
  <si>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</si>
  <si>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</si>
  <si>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</si>
  <si>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</si>
  <si>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</si>
  <si>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</si>
  <si>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</si>
  <si>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</si>
  <si>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</si>
  <si>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</si>
  <si>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</si>
  <si>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</si>
  <si>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</si>
  <si>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</si>
  <si>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</si>
  <si>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</si>
  <si>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</si>
  <si>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</si>
  <si>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</si>
  <si>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</si>
  <si>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</si>
  <si>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</si>
  <si>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</si>
  <si>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</si>
  <si>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</si>
  <si>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</si>
  <si>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</si>
  <si>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</si>
  <si>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</si>
  <si>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</si>
  <si>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</si>
  <si>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</si>
  <si>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</si>
  <si>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</si>
  <si>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</si>
  <si>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</si>
  <si>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</si>
  <si>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</si>
  <si>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</si>
  <si>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</si>
  <si>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</si>
  <si>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</si>
  <si>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</si>
  <si>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</si>
  <si>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</si>
  <si>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</si>
  <si>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</si>
  <si>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</si>
  <si>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</si>
  <si>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</si>
  <si>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</si>
  <si>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</si>
  <si>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</si>
  <si>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</si>
  <si>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</si>
  <si>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</si>
  <si>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</si>
  <si>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</si>
  <si>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</si>
  <si>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</si>
  <si>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</si>
  <si>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</si>
  <si>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</si>
  <si>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</si>
  <si>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</si>
  <si>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</si>
  <si>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</si>
  <si>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</si>
  <si>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</si>
  <si>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</si>
  <si>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</si>
  <si>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</si>
  <si>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</si>
  <si>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</si>
  <si>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</si>
  <si>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</si>
  <si>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</si>
  <si>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</si>
  <si>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</si>
  <si>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</si>
  <si>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</si>
  <si>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</si>
  <si>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</si>
  <si>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</si>
  <si>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</si>
  <si>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</si>
  <si>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</si>
  <si>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</si>
  <si>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</si>
  <si>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</si>
  <si>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</si>
  <si>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</si>
  <si>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</si>
  <si>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</si>
  <si>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</si>
  <si>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</si>
  <si>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</si>
  <si>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</si>
  <si>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</si>
  <si>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</si>
  <si>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</si>
  <si>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</si>
  <si>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</si>
  <si>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</si>
  <si>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</si>
  <si>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</si>
  <si>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</si>
  <si>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</si>
  <si>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</si>
  <si>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</si>
  <si>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</si>
  <si>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</si>
  <si>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</si>
  <si>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</si>
  <si>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</si>
  <si>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</si>
  <si>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</si>
  <si>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</si>
  <si>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</si>
  <si>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</si>
  <si>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</si>
  <si>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</si>
  <si>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</si>
  <si>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</si>
  <si>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</si>
  <si>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</si>
  <si>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</si>
  <si>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</si>
  <si>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</si>
  <si>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</si>
  <si>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</si>
  <si>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</si>
  <si>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</si>
  <si>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</si>
  <si>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</si>
  <si>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</si>
  <si>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</si>
  <si>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</si>
  <si>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</si>
  <si>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</si>
  <si>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</si>
  <si>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</si>
  <si>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</si>
  <si>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</si>
  <si>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</si>
  <si>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</si>
  <si>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</si>
  <si>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</si>
  <si>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</si>
  <si>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</si>
  <si>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</si>
  <si>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</si>
  <si>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</si>
  <si>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</si>
  <si>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</si>
  <si>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</si>
  <si>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</si>
  <si>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</si>
  <si>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</si>
  <si>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</si>
  <si>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</si>
  <si>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</si>
  <si>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</si>
  <si>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</si>
  <si>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</si>
  <si>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</si>
  <si>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</si>
  <si>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</si>
  <si>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</si>
  <si>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</si>
  <si>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</si>
  <si>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</si>
  <si>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</si>
  <si>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</si>
  <si>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</si>
  <si>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</si>
  <si>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</si>
  <si>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</si>
  <si>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</si>
  <si>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</si>
  <si>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</si>
  <si>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</si>
  <si>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</si>
  <si>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</si>
  <si>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</si>
  <si>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</si>
  <si>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</si>
  <si>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</si>
  <si>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</si>
  <si>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</si>
  <si>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</si>
  <si>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</si>
  <si>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</si>
  <si>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</si>
  <si>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</si>
  <si>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</si>
  <si>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</si>
  <si>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</si>
  <si>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</si>
  <si>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</si>
  <si>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</si>
  <si>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</si>
  <si>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</si>
  <si>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</si>
  <si>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</si>
  <si>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</si>
  <si>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</si>
  <si>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</si>
  <si>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</si>
  <si>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</si>
  <si>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</si>
  <si>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</si>
  <si>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</si>
  <si>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</si>
  <si>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</si>
  <si>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</si>
  <si>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</si>
  <si>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</si>
  <si>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</si>
  <si>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</si>
  <si>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</si>
  <si>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</si>
  <si>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</si>
  <si>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</si>
  <si>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</si>
  <si>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</si>
  <si>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</si>
  <si>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</si>
  <si>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</si>
  <si>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</si>
  <si>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</si>
  <si>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</si>
  <si>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</si>
  <si>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</si>
  <si>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</si>
  <si>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</si>
  <si>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</si>
  <si>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</si>
  <si>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</si>
  <si>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</si>
  <si>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</si>
  <si>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</si>
  <si>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</si>
  <si>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</si>
  <si>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</si>
  <si>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</si>
  <si>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</si>
  <si>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</si>
  <si>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</si>
  <si>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</si>
  <si>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</si>
  <si>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</si>
  <si>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</si>
  <si>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</si>
  <si>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</si>
  <si>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</si>
  <si>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</si>
  <si>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</si>
  <si>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</si>
  <si>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</si>
  <si>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</si>
  <si>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</si>
  <si>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</si>
  <si>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</si>
  <si>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</si>
  <si>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</si>
  <si>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</si>
  <si>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</si>
  <si>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</si>
  <si>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</si>
  <si>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</si>
  <si>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</si>
  <si>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</si>
  <si>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</si>
  <si>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</si>
  <si>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</si>
  <si>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</si>
  <si>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</si>
  <si>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</si>
  <si>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</si>
  <si>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</si>
  <si>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</si>
  <si>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</si>
  <si>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</si>
  <si>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</si>
  <si>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</si>
  <si>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</si>
  <si>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</si>
  <si>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</si>
  <si>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</si>
  <si>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</si>
  <si>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</si>
  <si>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</si>
  <si>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</si>
  <si>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</si>
  <si>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</si>
  <si>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</si>
  <si>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</si>
  <si>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</si>
  <si>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</si>
  <si>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</si>
  <si>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</si>
  <si>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</si>
  <si>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</si>
  <si>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</si>
  <si>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</si>
  <si>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</si>
  <si>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</si>
  <si>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</si>
  <si>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</si>
  <si>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</si>
  <si>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</si>
  <si>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</si>
  <si>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</si>
  <si>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</si>
  <si>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</si>
  <si>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</si>
  <si>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</si>
  <si>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</si>
  <si>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</si>
  <si>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</si>
  <si>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</si>
  <si>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</si>
  <si>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</si>
  <si>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</si>
  <si>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</si>
  <si>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</si>
  <si>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</si>
  <si>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</si>
  <si>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</si>
  <si>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</si>
  <si>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</si>
  <si>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</si>
  <si>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</si>
  <si>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</si>
  <si>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</si>
  <si>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</si>
  <si>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</si>
  <si>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</si>
  <si>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</si>
  <si>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</si>
  <si>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</si>
  <si>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</si>
  <si>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</si>
  <si>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</si>
  <si>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</si>
  <si>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</si>
  <si>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</si>
  <si>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</si>
  <si>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</si>
  <si>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</si>
  <si>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</si>
  <si>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</si>
  <si>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</si>
  <si>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</si>
  <si>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</si>
  <si>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</si>
  <si>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</si>
  <si>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</si>
  <si>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</si>
  <si>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</si>
  <si>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</si>
  <si>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</si>
  <si>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</si>
  <si>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</si>
  <si>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</si>
  <si>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</si>
  <si>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</si>
  <si>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</si>
  <si>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</si>
  <si>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</si>
  <si>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</si>
  <si>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</si>
  <si>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</si>
  <si>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</si>
  <si>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</si>
  <si>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</si>
  <si>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</si>
  <si>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</si>
  <si>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</si>
  <si>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</si>
  <si>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</si>
  <si>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</si>
  <si>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</si>
  <si>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</si>
  <si>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</si>
  <si>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</si>
  <si>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</si>
  <si>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</si>
  <si>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</si>
  <si>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</si>
  <si>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</si>
  <si>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</si>
  <si>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</si>
  <si>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</si>
  <si>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</si>
  <si>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</si>
  <si>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</si>
  <si>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</si>
  <si>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</si>
  <si>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</si>
  <si>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</si>
  <si>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</si>
  <si>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</si>
  <si>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</si>
  <si>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</si>
  <si>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</si>
  <si>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</si>
  <si>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</si>
  <si>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</si>
  <si>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</si>
  <si>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</si>
  <si>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</si>
  <si>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</si>
  <si>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</si>
  <si>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</si>
  <si>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</si>
  <si>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</si>
  <si>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</si>
  <si>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</si>
  <si>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</si>
  <si>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</si>
  <si>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</si>
  <si>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</si>
  <si>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</si>
  <si>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</si>
  <si>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</si>
  <si>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</si>
  <si>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</si>
  <si>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</si>
  <si>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</si>
  <si>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</si>
  <si>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</si>
  <si>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</si>
  <si>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</si>
  <si>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</si>
  <si>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</si>
  <si>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</si>
  <si>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</si>
  <si>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</si>
  <si>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</si>
  <si>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</si>
  <si>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</si>
  <si>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</si>
  <si>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</si>
  <si>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</si>
  <si>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</si>
  <si>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</si>
  <si>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</si>
  <si>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</si>
  <si>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</si>
  <si>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</si>
  <si>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</si>
  <si>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</si>
  <si>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</si>
  <si>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</si>
  <si>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</si>
  <si>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</si>
  <si>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</si>
  <si>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</si>
  <si>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</si>
  <si>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</si>
  <si>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</si>
  <si>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</si>
  <si>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</si>
  <si>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</si>
  <si>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</si>
  <si>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</si>
  <si>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</si>
  <si>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</si>
  <si>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</si>
  <si>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</si>
  <si>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</si>
  <si>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</si>
  <si>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</si>
  <si>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</si>
  <si>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</si>
  <si>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</si>
  <si>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</si>
  <si>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</si>
  <si>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</si>
  <si>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</si>
  <si>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</si>
  <si>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</si>
  <si>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</si>
  <si>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</si>
  <si>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</si>
  <si>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</si>
  <si>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</si>
  <si>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</si>
  <si>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</si>
  <si>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</si>
  <si>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</si>
  <si>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</si>
  <si>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</si>
  <si>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</si>
  <si>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</si>
  <si>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</si>
  <si>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</si>
  <si>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</si>
  <si>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</si>
  <si>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</si>
  <si>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</si>
  <si>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</si>
  <si>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</si>
  <si>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</si>
  <si>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</si>
  <si>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</si>
  <si>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</si>
  <si>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</si>
  <si>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</si>
  <si>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</si>
  <si>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</si>
  <si>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</si>
  <si>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</si>
  <si>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</si>
  <si>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</si>
  <si>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</si>
  <si>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</si>
  <si>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</si>
  <si>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</si>
  <si>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</si>
  <si>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</si>
  <si>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</si>
  <si>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</si>
  <si>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</si>
  <si>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</si>
  <si>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</si>
  <si>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</si>
  <si>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</si>
  <si>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</si>
  <si>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</si>
  <si>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</si>
  <si>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</si>
  <si>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</si>
  <si>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</si>
  <si>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</si>
  <si>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</si>
  <si>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</si>
  <si>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</si>
  <si>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</si>
  <si>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</si>
  <si>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</si>
  <si>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</si>
  <si>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</si>
  <si>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</si>
  <si>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</si>
  <si>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</si>
  <si>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</si>
  <si>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</si>
  <si>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</si>
  <si>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</si>
  <si>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</si>
  <si>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</si>
  <si>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</si>
  <si>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</si>
  <si>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</si>
  <si>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</si>
  <si>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</si>
  <si>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</si>
  <si>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</si>
  <si>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</si>
  <si>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</si>
  <si>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</si>
  <si>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</si>
  <si>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</si>
  <si>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</si>
  <si>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</si>
  <si>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</si>
  <si>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</si>
  <si>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</si>
  <si>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</si>
  <si>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</si>
  <si>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</si>
  <si>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</si>
  <si>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</si>
  <si>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</si>
  <si>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</si>
  <si>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</si>
  <si>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</si>
  <si>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</si>
  <si>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</si>
  <si>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</si>
  <si>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</si>
  <si>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</si>
  <si>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</si>
  <si>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</si>
  <si>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</si>
  <si>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</si>
  <si>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</si>
  <si>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</si>
  <si>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</si>
  <si>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</si>
  <si>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</si>
  <si>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</si>
  <si>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</si>
  <si>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</si>
  <si>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</si>
  <si>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</si>
  <si>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</si>
  <si>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</si>
  <si>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</si>
  <si>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</si>
  <si>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</si>
  <si>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</si>
  <si>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</si>
  <si>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</si>
  <si>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</si>
  <si>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</si>
  <si>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</si>
  <si>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</si>
  <si>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</si>
  <si>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</si>
  <si>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</si>
  <si>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</si>
  <si>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</si>
  <si>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</si>
  <si>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</si>
  <si>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</si>
  <si>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</si>
  <si>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</si>
  <si>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</si>
  <si>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</si>
  <si>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</si>
  <si>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</si>
  <si>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</si>
  <si>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</si>
  <si>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</si>
  <si>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</si>
  <si>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</si>
  <si>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</si>
  <si>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</si>
  <si>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</si>
  <si>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</si>
  <si>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</si>
  <si>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</si>
  <si>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</si>
  <si>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</si>
  <si>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</si>
  <si>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</si>
  <si>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</si>
  <si>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</si>
  <si>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</si>
  <si>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</si>
  <si>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</si>
  <si>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</si>
  <si>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</si>
  <si>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</si>
  <si>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</si>
  <si>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</si>
  <si>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</si>
  <si>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</si>
  <si>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</si>
  <si>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</si>
  <si>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</si>
  <si>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</si>
  <si>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</si>
  <si>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</si>
  <si>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</si>
  <si>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</si>
  <si>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</si>
  <si>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</si>
  <si>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</si>
  <si>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</si>
  <si>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</si>
  <si>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</si>
  <si>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</si>
  <si>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</si>
  <si>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</si>
  <si>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</si>
  <si>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</si>
  <si>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</si>
  <si>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</si>
  <si>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</si>
  <si>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</si>
  <si>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</si>
  <si>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</si>
  <si>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</si>
  <si>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</si>
  <si>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</si>
  <si>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</si>
  <si>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</si>
  <si>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</si>
  <si>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</si>
  <si>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</si>
  <si>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</si>
  <si>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</si>
  <si>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</si>
  <si>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</si>
  <si>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</si>
  <si>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</si>
  <si>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</si>
  <si>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</si>
  <si>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</si>
  <si>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</si>
  <si>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</si>
  <si>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</si>
  <si>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</si>
  <si>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</si>
  <si>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</si>
  <si>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</si>
  <si>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</si>
  <si>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</si>
  <si>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</si>
  <si>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</si>
  <si>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</si>
  <si>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</si>
  <si>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</si>
  <si>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</si>
  <si>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</si>
  <si>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</si>
  <si>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</si>
  <si>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</si>
  <si>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</si>
  <si>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</si>
  <si>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</si>
  <si>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</si>
  <si>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</si>
  <si>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</si>
  <si>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</si>
  <si>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</si>
  <si>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</si>
  <si>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</si>
  <si>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</si>
  <si>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</si>
  <si>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</si>
  <si>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</si>
  <si>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</si>
  <si>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</si>
  <si>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</si>
  <si>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</si>
  <si>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</si>
  <si>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</si>
  <si>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</si>
  <si>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</si>
  <si>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</si>
  <si>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</si>
  <si>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</si>
  <si>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</si>
  <si>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</si>
  <si>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</si>
  <si>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</si>
  <si>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</si>
  <si>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</si>
  <si>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</si>
  <si>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</si>
  <si>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</si>
  <si>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</si>
  <si>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</si>
  <si>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</si>
  <si>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</si>
  <si>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</si>
  <si>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</si>
  <si>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</si>
  <si>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</si>
  <si>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</si>
  <si>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</si>
  <si>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</si>
  <si>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</si>
  <si>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</si>
  <si>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</si>
  <si>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</si>
  <si>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</si>
  <si>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</si>
  <si>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</si>
  <si>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</si>
  <si>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</si>
  <si>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</si>
  <si>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</si>
  <si>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</si>
  <si>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</si>
  <si>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</si>
  <si>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</si>
  <si>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</si>
  <si>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</si>
  <si>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</si>
  <si>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</si>
  <si>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</si>
  <si>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</si>
  <si>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</si>
  <si>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</si>
  <si>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</si>
  <si>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</si>
  <si>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</si>
  <si>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</si>
  <si>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</si>
  <si>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</si>
  <si>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</si>
  <si>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</si>
  <si>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</si>
  <si>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</si>
  <si>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</si>
  <si>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</si>
  <si>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</si>
  <si>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</si>
  <si>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</si>
  <si>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</si>
  <si>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</si>
  <si>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</si>
  <si>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</si>
  <si>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</si>
  <si>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</si>
  <si>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</si>
  <si>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</si>
  <si>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</si>
  <si>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</si>
  <si>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</si>
  <si>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</si>
  <si>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</si>
  <si>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</si>
  <si>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</si>
  <si>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</si>
  <si>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</si>
  <si>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</si>
  <si>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</si>
  <si>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</si>
  <si>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</si>
  <si>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</si>
  <si>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</si>
  <si>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</si>
  <si>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</si>
  <si>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</si>
  <si>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</si>
  <si>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</si>
  <si>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</si>
  <si>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</si>
  <si>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</si>
  <si>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</si>
  <si>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</si>
  <si>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</si>
  <si>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</si>
  <si>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</si>
  <si>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</si>
  <si>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</si>
  <si>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</si>
  <si>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</si>
  <si>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</si>
  <si>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</si>
  <si>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</si>
  <si>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</si>
  <si>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</si>
  <si>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</si>
  <si>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</si>
  <si>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</si>
  <si>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</si>
  <si>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</si>
  <si>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</si>
  <si>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</si>
  <si>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</si>
  <si>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</si>
  <si>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</si>
  <si>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</si>
  <si>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</si>
  <si>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</si>
  <si>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</si>
  <si>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</si>
  <si>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</si>
  <si>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</si>
  <si>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</si>
  <si>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</si>
  <si>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</si>
  <si>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</si>
  <si>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</si>
  <si>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</si>
  <si>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</si>
  <si>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</si>
  <si>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</si>
  <si>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</si>
  <si>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</si>
  <si>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</si>
  <si>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</si>
  <si>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</si>
  <si>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</si>
  <si>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</si>
  <si>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</si>
  <si>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</si>
  <si>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</si>
  <si>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</si>
  <si>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</si>
  <si>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</si>
  <si>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</si>
  <si>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</si>
  <si>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</si>
  <si>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</si>
  <si>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</si>
  <si>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</si>
  <si>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</si>
  <si>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</si>
  <si>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</si>
  <si>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</si>
  <si>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</si>
  <si>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</si>
  <si>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</si>
  <si>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</si>
  <si>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</si>
  <si>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</si>
  <si>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</si>
  <si>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</si>
  <si>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</si>
  <si>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</si>
  <si>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</si>
  <si>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</si>
  <si>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</si>
  <si>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</si>
  <si>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</si>
  <si>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</si>
  <si>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</si>
  <si>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</si>
  <si>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</si>
  <si>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</si>
  <si>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</si>
  <si>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</si>
  <si>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</si>
  <si>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</si>
  <si>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</si>
  <si>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</si>
  <si>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</si>
  <si>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</si>
  <si>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</si>
  <si>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</si>
  <si>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</si>
  <si>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</si>
  <si>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</si>
  <si>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</si>
  <si>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</si>
  <si>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</si>
  <si>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</si>
  <si>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</si>
  <si>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</si>
  <si>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</si>
  <si>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</si>
  <si>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</si>
  <si>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</si>
  <si>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</si>
  <si>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</si>
  <si>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</si>
  <si>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</si>
  <si>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</si>
  <si>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</si>
  <si>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</si>
  <si>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</si>
  <si>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</si>
  <si>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</si>
  <si>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</si>
  <si>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</si>
  <si>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</si>
  <si>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</si>
  <si>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</si>
  <si>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</si>
  <si>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</si>
  <si>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</si>
  <si>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</si>
  <si>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</si>
  <si>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</si>
  <si>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</si>
  <si>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</si>
  <si>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</si>
  <si>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</si>
  <si>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</si>
  <si>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</si>
  <si>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</si>
  <si>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</si>
  <si>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</si>
  <si>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</si>
  <si>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</si>
  <si>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</si>
  <si>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</si>
  <si>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</si>
  <si>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</si>
  <si>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</si>
  <si>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</si>
  <si>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</si>
  <si>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</si>
  <si>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</si>
  <si>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</si>
  <si>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</si>
  <si>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</si>
  <si>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</si>
  <si>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</si>
  <si>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</si>
  <si>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</si>
  <si>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</si>
  <si>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</si>
  <si>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</si>
  <si>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</si>
  <si>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</si>
  <si>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</si>
  <si>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</si>
  <si>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</si>
  <si>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</si>
  <si>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</si>
  <si>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</si>
  <si>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</si>
  <si>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</si>
  <si>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</si>
  <si>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</si>
  <si>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</si>
  <si>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</si>
  <si>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</si>
  <si>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</si>
  <si>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</si>
  <si>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</si>
  <si>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</si>
  <si>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</si>
  <si>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</si>
  <si>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</si>
  <si>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</si>
  <si>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</si>
  <si>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</si>
  <si>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</si>
  <si>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</si>
  <si>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</si>
  <si>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</si>
  <si>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</si>
  <si>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</si>
  <si>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</si>
  <si>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</si>
  <si>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</si>
  <si>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</si>
  <si>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</si>
  <si>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</si>
  <si>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</si>
  <si>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</si>
  <si>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</si>
  <si>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</si>
  <si>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</si>
  <si>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</si>
  <si>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</si>
  <si>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</si>
  <si>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</si>
  <si>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</si>
  <si>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</si>
  <si>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</si>
  <si>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</si>
  <si>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</si>
  <si>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</si>
  <si>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</si>
  <si>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</si>
  <si>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</si>
  <si>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</si>
  <si>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</si>
  <si>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</si>
  <si>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</si>
  <si>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</si>
  <si>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</si>
  <si>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</si>
  <si>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</si>
  <si>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</si>
  <si>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</si>
  <si>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</si>
  <si>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</si>
  <si>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</si>
  <si>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</si>
  <si>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</si>
  <si>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</si>
  <si>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</si>
  <si>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</si>
  <si>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</si>
  <si>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</si>
  <si>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</si>
  <si>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</si>
  <si>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</si>
  <si>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</si>
  <si>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</si>
  <si>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</si>
  <si>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</si>
  <si>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</si>
  <si>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</si>
  <si>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</si>
  <si>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</si>
  <si>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</si>
  <si>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</si>
  <si>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</si>
  <si>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</si>
  <si>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</si>
  <si>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</si>
  <si>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</si>
  <si>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</si>
  <si>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</si>
  <si>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</si>
  <si>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</si>
  <si>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</si>
  <si>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</si>
  <si>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</si>
  <si>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</si>
  <si>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</si>
  <si>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</si>
  <si>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</si>
  <si>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</si>
  <si>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</si>
  <si>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</si>
  <si>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</si>
  <si>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</si>
  <si>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</si>
  <si>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</si>
  <si>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</si>
  <si>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</si>
  <si>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</si>
  <si>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</si>
  <si>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</si>
  <si>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</si>
  <si>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</si>
  <si>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</si>
  <si>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</si>
  <si>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</si>
  <si>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</si>
  <si>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</si>
  <si>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</si>
  <si>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</si>
  <si>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</si>
  <si>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</si>
  <si>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</si>
  <si>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</si>
  <si>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</si>
  <si>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</si>
  <si>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</si>
  <si>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</si>
  <si>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</si>
  <si>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</si>
  <si>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</si>
  <si>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</si>
  <si>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</si>
  <si>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</si>
  <si>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</si>
  <si>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</si>
  <si>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</si>
  <si>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</si>
  <si>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</si>
  <si>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</si>
  <si>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</si>
  <si>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</si>
  <si>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</si>
  <si>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</si>
  <si>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</si>
  <si>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</si>
  <si>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</si>
  <si>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</si>
  <si>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</si>
  <si>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</si>
  <si>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</si>
  <si>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</si>
  <si>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</si>
  <si>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</si>
  <si>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</si>
  <si>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</si>
  <si>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</si>
  <si>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</si>
  <si>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</si>
  <si>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</si>
  <si>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</si>
  <si>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</si>
  <si>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</si>
  <si>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</si>
  <si>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</si>
  <si>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</si>
  <si>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</si>
  <si>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</si>
  <si>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</si>
  <si>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</si>
  <si>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</si>
  <si>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</si>
  <si>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</si>
  <si>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</si>
  <si>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</si>
  <si>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</si>
  <si>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</si>
  <si>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</si>
  <si>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</si>
  <si>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</si>
  <si>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</si>
  <si>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</si>
  <si>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</si>
  <si>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</si>
  <si>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</si>
  <si>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</si>
  <si>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</si>
  <si>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</si>
  <si>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</si>
  <si>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</si>
  <si>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</si>
  <si>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</si>
  <si>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</si>
  <si>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</si>
  <si>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</si>
  <si>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</si>
  <si>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</si>
  <si>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</si>
  <si>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</si>
  <si>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</si>
  <si>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</si>
  <si>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</si>
  <si>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</si>
  <si>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</si>
  <si>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</si>
  <si>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</si>
  <si>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</si>
  <si>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</si>
  <si>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</si>
  <si>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</si>
  <si>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</si>
  <si>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</si>
  <si>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</si>
  <si>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</si>
  <si>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</si>
  <si>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</si>
  <si>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</si>
  <si>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</si>
  <si>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4-2-2, Kinunodai, Tsukubamirai-shi, Ibaraki-ken,300-2493, JAPAN</t>
  </si>
  <si>
    <t>Michiaki Kitamura</t>
  </si>
  <si>
    <t>green@smcjpn.co.jp</t>
  </si>
  <si>
    <t>+81-297-52-6433</t>
  </si>
  <si>
    <t>Masaaki Mori</t>
  </si>
  <si>
    <t>Manajar</t>
  </si>
  <si>
    <t>SMC  Corporation</t>
    <phoneticPr fontId="87" type="noConversion"/>
  </si>
  <si>
    <t>https://www.smcworld.com/assets/about/en-jp/pdf/smc_group_code_of_conduct_en.pdf</t>
    <phoneticPr fontId="87" type="noConversion"/>
  </si>
  <si>
    <t>The following smelters may source from the DRC/covered countries, in addition to other countries: CID003225,CID003255,CID003226,CID003228,CID003293,CID003212,CID003215,CID003291.  All of these smelters are conformant with the RMAP Conformant Program</t>
    <phoneticPr fontId="8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</si>
</sst>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2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85" fillId="0" borderId="0"/>
    <xf numFmtId="0" fontId="85"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5"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6" fontId="4" fillId="0" borderId="0"/>
    <xf numFmtId="166"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85" fillId="0" borderId="0"/>
    <xf numFmtId="0" fontId="85" fillId="0" borderId="0"/>
    <xf numFmtId="0" fontId="85" fillId="0" borderId="0"/>
    <xf numFmtId="166"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9" fillId="0" borderId="0" applyNumberFormat="0" applyFill="0" applyBorder="0" applyAlignment="0" applyProtection="0"/>
  </cellStyleXfs>
  <cellXfs count="41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5"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828" applyFont="1" applyFill="1" applyBorder="1" applyAlignment="1" applyProtection="1">
      <alignment vertical="center" wrapText="1"/>
      <protection hidden="1"/>
    </xf>
    <xf numFmtId="0" fontId="11"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1" applyFont="1" applyAlignment="1" applyProtection="1">
      <alignment vertical="top" wrapText="1"/>
      <protection hidden="1"/>
    </xf>
    <xf numFmtId="0" fontId="46" fillId="0" borderId="0" xfId="531"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1" applyFont="1" applyAlignment="1" applyProtection="1">
      <alignment vertical="top" wrapText="1"/>
      <protection hidden="1"/>
    </xf>
    <xf numFmtId="0" fontId="50" fillId="0" borderId="0" xfId="0" applyFont="1" applyAlignment="1">
      <alignment wrapText="1"/>
    </xf>
    <xf numFmtId="0" fontId="47" fillId="0" borderId="0" xfId="531"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4" applyFont="1" applyFill="1" applyBorder="1" applyAlignment="1">
      <alignment horizontal="center" vertical="center" wrapText="1"/>
    </xf>
    <xf numFmtId="0" fontId="52" fillId="45" borderId="50" xfId="574" applyFont="1" applyFill="1" applyBorder="1" applyAlignment="1">
      <alignment horizontal="center" vertical="center" wrapText="1"/>
    </xf>
    <xf numFmtId="166" fontId="49"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6" applyFont="1" applyAlignment="1">
      <alignment horizontal="left" vertical="top" wrapText="1"/>
    </xf>
    <xf numFmtId="0" fontId="78" fillId="0" borderId="0" xfId="506" applyFont="1" applyAlignment="1">
      <alignment horizontal="left" vertical="top" wrapText="1"/>
    </xf>
    <xf numFmtId="0" fontId="78" fillId="0" borderId="0" xfId="506" applyFont="1" applyAlignment="1">
      <alignment horizontal="justify" vertical="top"/>
    </xf>
    <xf numFmtId="0" fontId="46" fillId="0" borderId="0" xfId="506"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828"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828" applyFont="1" applyBorder="1" applyProtection="1">
      <protection locked="0"/>
    </xf>
    <xf numFmtId="166"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828"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6"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26" fillId="0" borderId="52" xfId="574" applyFont="1" applyBorder="1" applyAlignment="1">
      <alignment vertical="center" wrapText="1"/>
    </xf>
    <xf numFmtId="0" fontId="99" fillId="0" borderId="52" xfId="574" applyFont="1" applyBorder="1" applyAlignment="1">
      <alignment horizontal="left" vertical="top" wrapText="1"/>
    </xf>
    <xf numFmtId="0" fontId="11" fillId="0" borderId="0" xfId="828" applyFont="1" applyAlignment="1" applyProtection="1">
      <alignment vertical="center"/>
      <protection locked="0"/>
    </xf>
    <xf numFmtId="0" fontId="7" fillId="80" borderId="32" xfId="0" applyFont="1" applyFill="1" applyBorder="1" applyAlignment="1" applyProtection="1">
      <alignment vertical="center" wrapText="1"/>
      <protection hidden="1"/>
    </xf>
    <xf numFmtId="0" fontId="11"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0"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0"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8"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8"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7" applyFont="1" applyAlignment="1">
      <alignment horizontal="left" vertical="top" wrapText="1"/>
    </xf>
    <xf numFmtId="0" fontId="78" fillId="0" borderId="0" xfId="827" applyFont="1" applyAlignment="1">
      <alignment vertical="center" wrapText="1"/>
    </xf>
    <xf numFmtId="0" fontId="46" fillId="0" borderId="0" xfId="827"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101" fillId="0" borderId="0" xfId="827" applyFont="1" applyAlignment="1">
      <alignment horizontal="left" vertical="top" wrapText="1"/>
    </xf>
    <xf numFmtId="0" fontId="82" fillId="0" borderId="0" xfId="827" applyFont="1" applyAlignment="1">
      <alignment horizontal="left" vertical="top" wrapText="1"/>
    </xf>
    <xf numFmtId="0" fontId="47" fillId="0" borderId="0" xfId="827" applyFont="1" applyAlignment="1">
      <alignment horizontal="justify" vertical="top"/>
    </xf>
    <xf numFmtId="0" fontId="82" fillId="0" borderId="0" xfId="827"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 fillId="45" borderId="56" xfId="828"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828" applyFont="1" applyFill="1" applyBorder="1" applyAlignment="1" applyProtection="1">
      <alignment horizontal="left" vertical="center" wrapText="1"/>
    </xf>
    <xf numFmtId="0" fontId="80" fillId="0" borderId="25" xfId="828" applyFont="1" applyFill="1" applyBorder="1" applyAlignment="1" applyProtection="1">
      <alignment horizontal="left" vertical="center" wrapText="1"/>
    </xf>
    <xf numFmtId="0" fontId="80"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828" applyFont="1" applyFill="1" applyBorder="1" applyAlignment="1" applyProtection="1">
      <alignment horizontal="center" wrapText="1"/>
      <protection hidden="1"/>
    </xf>
    <xf numFmtId="0" fontId="20" fillId="45" borderId="0" xfId="0" applyFont="1" applyFill="1" applyAlignment="1">
      <alignment horizontal="center" wrapText="1"/>
    </xf>
    <xf numFmtId="49" fontId="81" fillId="45" borderId="56" xfId="828" applyNumberFormat="1" applyFont="1" applyFill="1" applyBorder="1" applyAlignment="1" applyProtection="1">
      <alignment horizontal="left" vertical="center" wrapText="1"/>
      <protection locked="0"/>
    </xf>
    <xf numFmtId="49" fontId="81" fillId="45" borderId="11" xfId="828" applyNumberFormat="1" applyFont="1" applyFill="1" applyBorder="1" applyAlignment="1" applyProtection="1">
      <alignment horizontal="left" vertical="center" wrapText="1"/>
      <protection locked="0"/>
    </xf>
    <xf numFmtId="49" fontId="81"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828"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9" fillId="45" borderId="56" xfId="828" applyFill="1" applyBorder="1" applyAlignment="1" applyProtection="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45" fillId="45" borderId="34" xfId="828" applyFont="1" applyFill="1" applyBorder="1" applyAlignment="1" applyProtection="1">
      <alignment horizontal="center" vertical="center"/>
      <protection locked="0"/>
    </xf>
    <xf numFmtId="0" fontId="45"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67">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smcworld.com/assets/about/en-jp/pdf/smc_group_code_of_conduct_en.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4BDF1A28-30D5-449D-B20E-D6C97EF9FAE1}" showAutoFilter="1">
      <selection activeCell="C1" sqref="C1:D65536"/>
      <pageMargins left="0" right="0" top="0" bottom="0" header="0" footer="0"/>
      <pageSetup orientation="portrait"/>
      <autoFilter ref="B1:C1" xr:uid="{C7B36543-143C-4230-A5A5-E3427C10C62E}"/>
    </customSheetView>
    <customSheetView guid="{C59130F4-2E03-5E48-94CE-6E4A0484DB9E}" showAutoFilter="1">
      <selection activeCell="C1" sqref="C1:D65536"/>
      <pageMargins left="0" right="0" top="0" bottom="0" header="0" footer="0"/>
      <pageSetup orientation="portrait"/>
      <headerFooter alignWithMargins="0"/>
      <autoFilter ref="B1:C1" xr:uid="{FB47BC7F-4165-415D-8045-51B8A08B76C8}"/>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zoomScale="60" zoomScaleNormal="60" workbookViewId="0">
      <selection activeCell="E3" sqref="E3:I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57"/>
      <c r="B1" s="358"/>
      <c r="C1" s="358"/>
      <c r="D1" s="358"/>
      <c r="E1" s="358"/>
      <c r="F1" s="358"/>
      <c r="G1" s="358"/>
      <c r="H1" s="358"/>
      <c r="I1" s="358"/>
      <c r="J1" s="358"/>
      <c r="K1" s="359"/>
      <c r="L1" s="103"/>
      <c r="P1" s="3"/>
      <c r="Q1" s="3"/>
      <c r="R1" s="3"/>
      <c r="S1" s="3"/>
      <c r="T1" s="3"/>
      <c r="U1" s="3"/>
      <c r="V1" s="3"/>
      <c r="W1" s="3"/>
      <c r="X1" s="3"/>
      <c r="Y1" s="3"/>
      <c r="Z1" s="3"/>
      <c r="AA1" s="3"/>
      <c r="AB1" s="3"/>
      <c r="AC1" s="3"/>
      <c r="AD1" s="3"/>
      <c r="AE1" s="3"/>
      <c r="AF1" s="3"/>
      <c r="AG1" s="3"/>
      <c r="AH1" s="3"/>
    </row>
    <row r="2" spans="1:34" ht="81.75" customHeight="1">
      <c r="A2" s="28"/>
      <c r="B2" s="326"/>
      <c r="C2" s="29"/>
      <c r="D2" s="360" t="str">
        <f ca="1">OFFSET(L!$C$1,MATCH("Declaration"&amp;ADDRESS(ROW(),COLUMN(),4),L!$A:$A,0)-1,SL,,)</f>
        <v>Extended Mineral Reporting Template (EMRT)</v>
      </c>
      <c r="E2" s="361"/>
      <c r="F2" s="361"/>
      <c r="G2" s="361"/>
      <c r="H2" s="361"/>
      <c r="I2" s="361"/>
      <c r="J2" s="36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344"/>
      <c r="F3" s="345"/>
      <c r="G3" s="345"/>
      <c r="H3" s="345"/>
      <c r="I3" s="345"/>
      <c r="J3" s="202" t="s">
        <v>14430</v>
      </c>
      <c r="K3" s="30"/>
      <c r="L3" s="103"/>
      <c r="P3" s="39">
        <f>MATCH($D$3,LN,0)</f>
        <v>1</v>
      </c>
    </row>
    <row r="4" spans="1:34" ht="15.75">
      <c r="A4" s="28"/>
      <c r="B4" s="367" t="str">
        <f ca="1">OFFSET(L!$C$1,MATCH("Declaration"&amp;ADDRESS(ROW(),COLUMN(),4),L!$A:$A,0)-1,SL,,)</f>
        <v>The purpose of this document is to collect sourcing information on cobalt or natural mica.</v>
      </c>
      <c r="C4" s="367"/>
      <c r="D4" s="367"/>
      <c r="E4" s="367"/>
      <c r="F4" s="367"/>
      <c r="G4" s="367"/>
      <c r="H4" s="367"/>
      <c r="I4" s="371" t="str">
        <f ca="1">OFFSET(L!$C$1,MATCH("Declaration"&amp;ADDRESS(ROW(),COLUMN(),4),L!$A:$A,0)-1,SL,,)</f>
        <v>Link to Terms &amp; Conditions</v>
      </c>
      <c r="J4" s="37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0"/>
      <c r="L6" s="105" t="s">
        <v>21</v>
      </c>
      <c r="P6" s="3"/>
      <c r="Q6" s="3"/>
      <c r="R6" s="3"/>
      <c r="S6" s="3"/>
      <c r="T6" s="3"/>
      <c r="U6" s="3"/>
      <c r="V6" s="3"/>
      <c r="W6" s="3"/>
      <c r="X6" s="3"/>
      <c r="Y6" s="3"/>
      <c r="Z6" s="3"/>
      <c r="AA6" s="3"/>
      <c r="AB6" s="3"/>
      <c r="AC6" s="3"/>
      <c r="AD6" s="3"/>
      <c r="AE6" s="3"/>
      <c r="AF6" s="3"/>
      <c r="AG6" s="3"/>
      <c r="AH6" s="3"/>
    </row>
    <row r="7" spans="1:34" ht="15.75">
      <c r="A7" s="28"/>
      <c r="B7" s="372" t="str">
        <f ca="1">OFFSET(L!$C$1,MATCH("Declaration"&amp;ADDRESS(ROW(),COLUMN(),4),L!$A:$A,0)-1,SL,,)</f>
        <v>Company Information</v>
      </c>
      <c r="C7" s="372"/>
      <c r="D7" s="372"/>
      <c r="E7" s="372"/>
      <c r="F7" s="372"/>
      <c r="G7" s="372"/>
      <c r="H7" s="372"/>
      <c r="I7" s="372"/>
      <c r="J7" s="37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3" t="s">
        <v>14438</v>
      </c>
      <c r="E8" s="364"/>
      <c r="F8" s="364"/>
      <c r="G8" s="364"/>
      <c r="H8" s="364"/>
      <c r="I8" s="364"/>
      <c r="J8" s="36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81" t="s">
        <v>22</v>
      </c>
      <c r="E9" s="382"/>
      <c r="F9" s="382"/>
      <c r="G9" s="383"/>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73" t="str">
        <f ca="1">OFFSET(L!$C$1,MATCH("Declaration"&amp;ADDRESS(ROW(),COLUMN(),4)&amp;LEFT($D$9,1),L!$A:$A,0)-1,SL,,)</f>
        <v>Description of Scope:</v>
      </c>
      <c r="C10" s="113"/>
      <c r="D10" s="368"/>
      <c r="E10" s="369"/>
      <c r="F10" s="369"/>
      <c r="G10" s="369"/>
      <c r="H10" s="369"/>
      <c r="I10" s="369"/>
      <c r="J10" s="370"/>
      <c r="K10" s="30"/>
      <c r="L10" s="105"/>
      <c r="Q10" s="3"/>
      <c r="R10" s="3"/>
      <c r="S10" s="3"/>
      <c r="T10" s="3"/>
      <c r="U10" s="3"/>
      <c r="V10" s="3"/>
      <c r="W10" s="3"/>
      <c r="X10" s="3"/>
      <c r="Y10" s="3"/>
      <c r="Z10" s="3"/>
      <c r="AA10" s="3"/>
      <c r="AB10" s="3"/>
      <c r="AC10" s="3"/>
      <c r="AD10" s="3"/>
      <c r="AE10" s="3"/>
      <c r="AF10" s="3"/>
      <c r="AG10" s="3"/>
      <c r="AH10" s="3"/>
    </row>
    <row r="11" spans="1:34" ht="15.75">
      <c r="A11" s="32"/>
      <c r="B11" s="374"/>
      <c r="C11" s="113"/>
      <c r="D11" s="375" t="str">
        <f ca="1">IF(D9=Q9,OFFSET(L!$C$1,MATCH("Declaration"&amp;ADDRESS(ROW(),COLUMN(),4),L!$A:$A,0)-1,SL,,),"")</f>
        <v/>
      </c>
      <c r="E11" s="376"/>
      <c r="F11" s="376"/>
      <c r="G11" s="376"/>
      <c r="H11" s="376"/>
      <c r="I11" s="376"/>
      <c r="J11" s="37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6"/>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6"/>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6" t="s">
        <v>14432</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6" t="s">
        <v>14433</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54" t="s">
        <v>14434</v>
      </c>
      <c r="E16" s="355"/>
      <c r="F16" s="355"/>
      <c r="G16" s="355"/>
      <c r="H16" s="355"/>
      <c r="I16" s="355"/>
      <c r="J16" s="356"/>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6" t="s">
        <v>14435</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6" t="s">
        <v>14436</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6" t="s">
        <v>14437</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54" t="s">
        <v>14434</v>
      </c>
      <c r="E20" s="355"/>
      <c r="F20" s="355"/>
      <c r="G20" s="355"/>
      <c r="H20" s="355"/>
      <c r="I20" s="355"/>
      <c r="J20" s="356"/>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6" t="s">
        <v>14435</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87">
        <v>44858</v>
      </c>
      <c r="E22" s="388"/>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80"/>
      <c r="E23" s="38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40" t="str">
        <f ca="1">OFFSET(L!$C$1,MATCH("Declaration"&amp;ADDRESS(ROW(),COLUMN(),4),L!$A:$A,0)-1,SL,,)</f>
        <v>Answer the following questions 1 - 7 based on the declaration scope indicated above</v>
      </c>
      <c r="C24" s="340"/>
      <c r="D24" s="340"/>
      <c r="E24" s="340"/>
      <c r="F24" s="340"/>
      <c r="G24" s="340"/>
      <c r="H24" s="340"/>
      <c r="I24" s="340"/>
      <c r="J24" s="34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86" t="str">
        <f ca="1">OFFSET(L!$C$1,MATCH("Declaration"&amp;ADDRESS(ROW(),COLUMN(),4),L!$A:$A,0)-1,SL,,)</f>
        <v>Answer</v>
      </c>
      <c r="E25" s="386"/>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6" t="s">
        <v>28</v>
      </c>
      <c r="E26" s="347"/>
      <c r="F26" s="9"/>
      <c r="G26" s="341"/>
      <c r="H26" s="342"/>
      <c r="I26" s="342"/>
      <c r="J26" s="343"/>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6" t="s">
        <v>25</v>
      </c>
      <c r="E27" s="347"/>
      <c r="F27" s="9"/>
      <c r="G27" s="341"/>
      <c r="H27" s="342"/>
      <c r="I27" s="342"/>
      <c r="J27" s="343"/>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52" t="s">
        <v>25</v>
      </c>
      <c r="E28" s="353"/>
      <c r="F28" s="9"/>
      <c r="G28" s="341"/>
      <c r="H28" s="342"/>
      <c r="I28" s="342"/>
      <c r="J28" s="343"/>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84" t="s">
        <v>25</v>
      </c>
      <c r="E29" s="385"/>
      <c r="F29" s="9"/>
      <c r="G29" s="341"/>
      <c r="H29" s="342"/>
      <c r="I29" s="342"/>
      <c r="J29" s="343"/>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78" t="str">
        <f ca="1">D25</f>
        <v>Answer</v>
      </c>
      <c r="E31" s="378"/>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6" t="s">
        <v>28</v>
      </c>
      <c r="E32" s="347"/>
      <c r="F32" s="9"/>
      <c r="G32" s="341"/>
      <c r="H32" s="342"/>
      <c r="I32" s="342"/>
      <c r="J32" s="343"/>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6"/>
      <c r="E33" s="347"/>
      <c r="F33" s="9"/>
      <c r="G33" s="341"/>
      <c r="H33" s="342"/>
      <c r="I33" s="342"/>
      <c r="J33" s="343"/>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52" t="s">
        <v>25</v>
      </c>
      <c r="E34" s="353"/>
      <c r="F34" s="9"/>
      <c r="G34" s="341"/>
      <c r="H34" s="342"/>
      <c r="I34" s="342"/>
      <c r="J34" s="343"/>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52" t="s">
        <v>25</v>
      </c>
      <c r="E35" s="353"/>
      <c r="F35" s="9"/>
      <c r="G35" s="341"/>
      <c r="H35" s="342"/>
      <c r="I35" s="342"/>
      <c r="J35" s="343"/>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78" t="str">
        <f ca="1">D25</f>
        <v>Answer</v>
      </c>
      <c r="E37" s="378"/>
      <c r="F37" s="15"/>
      <c r="G37" s="38" t="str">
        <f ca="1">G25</f>
        <v>Comments</v>
      </c>
      <c r="H37" s="379"/>
      <c r="I37" s="379"/>
      <c r="J37" s="379"/>
      <c r="K37" s="30"/>
      <c r="L37" s="100" t="s">
        <v>21</v>
      </c>
      <c r="P37" s="39">
        <f>COUNTIF(D$26:D$27,"No")+COUNTIF(D$26:D$27,"Unknown")+COUNTIF(D$32:D$33,"No")+COUNTIF(D$32:D$33,"Unknown")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6" t="s">
        <v>28</v>
      </c>
      <c r="E38" s="347"/>
      <c r="F38" s="41"/>
      <c r="G38" s="341" t="s">
        <v>14440</v>
      </c>
      <c r="H38" s="342"/>
      <c r="I38" s="342"/>
      <c r="J38" s="343"/>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6"/>
      <c r="E39" s="347"/>
      <c r="F39" s="41"/>
      <c r="G39" s="341"/>
      <c r="H39" s="342"/>
      <c r="I39" s="342"/>
      <c r="J39" s="343"/>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6"/>
      <c r="E40" s="347"/>
      <c r="F40" s="41"/>
      <c r="G40" s="341"/>
      <c r="H40" s="342"/>
      <c r="I40" s="342"/>
      <c r="J40" s="343"/>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6"/>
      <c r="E41" s="347"/>
      <c r="F41" s="41"/>
      <c r="G41" s="341"/>
      <c r="H41" s="342"/>
      <c r="I41" s="342"/>
      <c r="J41" s="343"/>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78" t="str">
        <f ca="1">D25</f>
        <v>Answer</v>
      </c>
      <c r="E43" s="378"/>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6" t="s">
        <v>25</v>
      </c>
      <c r="E44" s="347"/>
      <c r="F44" s="41"/>
      <c r="G44" s="341"/>
      <c r="H44" s="342"/>
      <c r="I44" s="342"/>
      <c r="J44" s="343"/>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6"/>
      <c r="E45" s="347"/>
      <c r="F45" s="41"/>
      <c r="G45" s="341"/>
      <c r="H45" s="342"/>
      <c r="I45" s="342"/>
      <c r="J45" s="343"/>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52"/>
      <c r="E46" s="353"/>
      <c r="F46" s="41"/>
      <c r="G46" s="341"/>
      <c r="H46" s="342"/>
      <c r="I46" s="342"/>
      <c r="J46" s="343"/>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52"/>
      <c r="E47" s="353"/>
      <c r="F47" s="41"/>
      <c r="G47" s="341"/>
      <c r="H47" s="342"/>
      <c r="I47" s="342"/>
      <c r="J47" s="343"/>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78" t="str">
        <f ca="1">D25</f>
        <v>Answer</v>
      </c>
      <c r="E49" s="378"/>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50" t="s">
        <v>32</v>
      </c>
      <c r="E50" s="351"/>
      <c r="F50" s="41"/>
      <c r="G50" s="341"/>
      <c r="H50" s="342"/>
      <c r="I50" s="342"/>
      <c r="J50" s="343"/>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50"/>
      <c r="E51" s="351"/>
      <c r="F51" s="41"/>
      <c r="G51" s="341"/>
      <c r="H51" s="342"/>
      <c r="I51" s="342"/>
      <c r="J51" s="343"/>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48"/>
      <c r="E52" s="349"/>
      <c r="F52" s="41"/>
      <c r="G52" s="341"/>
      <c r="H52" s="342"/>
      <c r="I52" s="342"/>
      <c r="J52" s="343"/>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48"/>
      <c r="E53" s="349"/>
      <c r="F53" s="41"/>
      <c r="G53" s="341"/>
      <c r="H53" s="342"/>
      <c r="I53" s="342"/>
      <c r="J53" s="343"/>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78" t="str">
        <f ca="1">D25</f>
        <v>Answer</v>
      </c>
      <c r="E55" s="378"/>
      <c r="F55" s="15"/>
      <c r="G55" s="38" t="str">
        <f ca="1">G25</f>
        <v>Comments</v>
      </c>
      <c r="H55" s="389"/>
      <c r="I55" s="389"/>
      <c r="J55" s="389"/>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92" t="s">
        <v>28</v>
      </c>
      <c r="E56" s="393"/>
      <c r="F56" s="41"/>
      <c r="G56" s="341"/>
      <c r="H56" s="342"/>
      <c r="I56" s="342"/>
      <c r="J56" s="343"/>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6"/>
      <c r="E57" s="347"/>
      <c r="F57" s="41"/>
      <c r="G57" s="341"/>
      <c r="H57" s="342"/>
      <c r="I57" s="342"/>
      <c r="J57" s="343"/>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52"/>
      <c r="E58" s="353"/>
      <c r="F58" s="41"/>
      <c r="G58" s="341"/>
      <c r="H58" s="342"/>
      <c r="I58" s="342"/>
      <c r="J58" s="343"/>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52"/>
      <c r="E59" s="353"/>
      <c r="F59" s="41"/>
      <c r="G59" s="341"/>
      <c r="H59" s="342"/>
      <c r="I59" s="342"/>
      <c r="J59" s="343"/>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78" t="str">
        <f ca="1">D25</f>
        <v>Answer</v>
      </c>
      <c r="E61" s="378"/>
      <c r="F61" s="15"/>
      <c r="G61" s="38" t="str">
        <f ca="1">G25</f>
        <v>Comments</v>
      </c>
      <c r="H61" s="389" t="str">
        <f>IF(Q69="(*)","Click here to enter smelter names","")</f>
        <v/>
      </c>
      <c r="I61" s="389"/>
      <c r="J61" s="389"/>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6" t="s">
        <v>28</v>
      </c>
      <c r="E62" s="347"/>
      <c r="F62" s="42"/>
      <c r="G62" s="341"/>
      <c r="H62" s="342"/>
      <c r="I62" s="342"/>
      <c r="J62" s="343"/>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6"/>
      <c r="E63" s="347"/>
      <c r="F63" s="42"/>
      <c r="G63" s="341"/>
      <c r="H63" s="342"/>
      <c r="I63" s="342"/>
      <c r="J63" s="343"/>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52"/>
      <c r="E64" s="353"/>
      <c r="F64" s="42"/>
      <c r="G64" s="341"/>
      <c r="H64" s="342"/>
      <c r="I64" s="342"/>
      <c r="J64" s="343"/>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52"/>
      <c r="E65" s="353"/>
      <c r="F65" s="44"/>
      <c r="G65" s="341"/>
      <c r="H65" s="342"/>
      <c r="I65" s="342"/>
      <c r="J65" s="343"/>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98" t="str">
        <f ca="1">OFFSET(L!$C$1,MATCH("Declaration"&amp;ADDRESS(ROW(),COLUMN(),4),L!$A:$A,0)-1,SL,,)</f>
        <v>Answer the Following Questions at a Company Level</v>
      </c>
      <c r="C67" s="398"/>
      <c r="D67" s="398"/>
      <c r="E67" s="398"/>
      <c r="F67" s="398"/>
      <c r="G67" s="398"/>
      <c r="H67" s="398"/>
      <c r="I67" s="398"/>
      <c r="J67" s="39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86" t="str">
        <f ca="1">D25</f>
        <v>Answer</v>
      </c>
      <c r="E68" s="386"/>
      <c r="F68" s="47"/>
      <c r="G68" s="386" t="str">
        <f ca="1">G25</f>
        <v>Comments</v>
      </c>
      <c r="H68" s="386" t="e">
        <f>HLOOKUP(SL,LT,$O68,0)</f>
        <v>#NAME?</v>
      </c>
      <c r="I68" s="38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6" t="s">
        <v>28</v>
      </c>
      <c r="E69" s="347"/>
      <c r="F69" s="51"/>
      <c r="G69" s="341"/>
      <c r="H69" s="342"/>
      <c r="I69" s="342"/>
      <c r="J69" s="343"/>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91"/>
      <c r="H70" s="391"/>
      <c r="I70" s="391"/>
      <c r="J70" s="39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46" t="s">
        <v>28</v>
      </c>
      <c r="E71" s="347"/>
      <c r="F71" s="51"/>
      <c r="G71" s="402" t="s">
        <v>14439</v>
      </c>
      <c r="H71" s="403"/>
      <c r="I71" s="403"/>
      <c r="J71" s="404"/>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97"/>
      <c r="E73" s="397"/>
      <c r="F73" s="258"/>
      <c r="G73" s="390"/>
      <c r="H73" s="390"/>
      <c r="I73" s="390"/>
      <c r="J73" s="390"/>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6" t="s">
        <v>28</v>
      </c>
      <c r="E74" s="347"/>
      <c r="F74" s="9"/>
      <c r="G74" s="341"/>
      <c r="H74" s="342"/>
      <c r="I74" s="342"/>
      <c r="J74" s="343"/>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6"/>
      <c r="E75" s="347"/>
      <c r="F75" s="9"/>
      <c r="G75" s="341"/>
      <c r="H75" s="342"/>
      <c r="I75" s="342"/>
      <c r="J75" s="343"/>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6" t="s">
        <v>28</v>
      </c>
      <c r="E77" s="347"/>
      <c r="F77" s="51"/>
      <c r="G77" s="341"/>
      <c r="H77" s="342"/>
      <c r="I77" s="342"/>
      <c r="J77" s="343"/>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99" t="s">
        <v>37</v>
      </c>
      <c r="E79" s="400"/>
      <c r="F79" s="51"/>
      <c r="G79" s="341"/>
      <c r="H79" s="342"/>
      <c r="I79" s="342"/>
      <c r="J79" s="343"/>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91"/>
      <c r="H80" s="391"/>
      <c r="I80" s="391"/>
      <c r="J80" s="39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46" t="s">
        <v>28</v>
      </c>
      <c r="E81" s="347"/>
      <c r="F81" s="51"/>
      <c r="G81" s="341"/>
      <c r="H81" s="342"/>
      <c r="I81" s="342"/>
      <c r="J81" s="343"/>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401"/>
      <c r="H82" s="401"/>
      <c r="I82" s="401"/>
      <c r="J82" s="40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46" t="s">
        <v>28</v>
      </c>
      <c r="E83" s="347"/>
      <c r="F83" s="51"/>
      <c r="G83" s="341"/>
      <c r="H83" s="342"/>
      <c r="I83" s="342"/>
      <c r="J83" s="343"/>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96" t="str">
        <f>IF(OR($D$8="",$I$3=""),"","Click here to check required fields completion")</f>
        <v/>
      </c>
      <c r="C84" s="396"/>
      <c r="D84" s="396"/>
      <c r="E84" s="396"/>
      <c r="F84" s="396"/>
      <c r="G84" s="396"/>
      <c r="H84" s="396"/>
      <c r="I84" s="396"/>
      <c r="J84" s="396"/>
      <c r="K84" s="30"/>
      <c r="L84" s="103"/>
      <c r="P84" s="3"/>
      <c r="Q84" s="3"/>
      <c r="R84" s="3"/>
      <c r="S84" s="3"/>
      <c r="T84" s="3"/>
      <c r="U84" s="3"/>
      <c r="V84" s="3"/>
      <c r="W84" s="3"/>
      <c r="X84" s="3"/>
      <c r="Y84" s="3">
        <v>86</v>
      </c>
      <c r="Z84" s="3"/>
      <c r="AA84" s="3"/>
      <c r="AB84" s="3"/>
      <c r="AC84" s="3"/>
      <c r="AD84" s="3"/>
      <c r="AE84" s="3"/>
      <c r="AF84" s="3"/>
      <c r="AG84" s="3"/>
      <c r="AH84" s="3"/>
    </row>
    <row r="85" spans="1:34" ht="15.75" thickBot="1">
      <c r="A85" s="394" t="str">
        <f ca="1">OFFSET(L!$C$1,MATCH("General"&amp;"Cpy",L!$A:$A,0)-1,SL,,)</f>
        <v>© 2021 Responsible Minerals Initiative. All rights reserved.</v>
      </c>
      <c r="B85" s="395"/>
      <c r="C85" s="395"/>
      <c r="D85" s="395"/>
      <c r="E85" s="395"/>
      <c r="F85" s="395"/>
      <c r="G85" s="395"/>
      <c r="H85" s="395"/>
      <c r="I85" s="395"/>
      <c r="J85" s="39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7" type="noConversion"/>
  <conditionalFormatting sqref="D26:E26">
    <cfRule type="expression" dxfId="66" priority="122" stopIfTrue="1">
      <formula>IF($D$26="",TRUE)</formula>
    </cfRule>
  </conditionalFormatting>
  <conditionalFormatting sqref="D27:E27">
    <cfRule type="expression" dxfId="65" priority="129" stopIfTrue="1">
      <formula>IF($D$27="",TRUE)</formula>
    </cfRule>
  </conditionalFormatting>
  <conditionalFormatting sqref="D8:J8">
    <cfRule type="expression" dxfId="64" priority="136" stopIfTrue="1">
      <formula>IF($D$8="",TRUE)</formula>
    </cfRule>
  </conditionalFormatting>
  <conditionalFormatting sqref="D9:G9">
    <cfRule type="expression" dxfId="63" priority="137" stopIfTrue="1">
      <formula>IF($D$9="",TRUE)</formula>
    </cfRule>
  </conditionalFormatting>
  <conditionalFormatting sqref="D15:J15">
    <cfRule type="expression" dxfId="62" priority="138" stopIfTrue="1">
      <formula>IF($D$15="",TRUE)</formula>
    </cfRule>
  </conditionalFormatting>
  <conditionalFormatting sqref="D16:J16">
    <cfRule type="expression" dxfId="61" priority="139" stopIfTrue="1">
      <formula>IF($D$16="",TRUE)</formula>
    </cfRule>
  </conditionalFormatting>
  <conditionalFormatting sqref="D17:J17">
    <cfRule type="expression" dxfId="60" priority="140" stopIfTrue="1">
      <formula>IF($D$17="",TRUE)</formula>
    </cfRule>
  </conditionalFormatting>
  <conditionalFormatting sqref="D18:J18">
    <cfRule type="expression" dxfId="59" priority="141" stopIfTrue="1">
      <formula>IF($D$18="",TRUE)</formula>
    </cfRule>
  </conditionalFormatting>
  <conditionalFormatting sqref="D22:E22">
    <cfRule type="expression" dxfId="58" priority="144" stopIfTrue="1">
      <formula>IF($D$22="",TRUE)</formula>
    </cfRule>
  </conditionalFormatting>
  <conditionalFormatting sqref="D10:J10">
    <cfRule type="expression" dxfId="57" priority="41" stopIfTrue="1">
      <formula>IF($D$9=$Q$9,TRUE)</formula>
    </cfRule>
    <cfRule type="expression" dxfId="56" priority="151" stopIfTrue="1">
      <formula>IF(AND($D$10="",$D$9=$R$9),TRUE)</formula>
    </cfRule>
  </conditionalFormatting>
  <conditionalFormatting sqref="D40:E40 D46:E46 D52:E52 D58:E58 D64:E64">
    <cfRule type="expression" dxfId="55" priority="34" stopIfTrue="1">
      <formula>$P$28=""</formula>
    </cfRule>
  </conditionalFormatting>
  <conditionalFormatting sqref="D41:E41 D47:E47 D53:E53 D59:E59 D65:E65">
    <cfRule type="expression" dxfId="54" priority="149" stopIfTrue="1">
      <formula>$P$29=""</formula>
    </cfRule>
  </conditionalFormatting>
  <conditionalFormatting sqref="D40 D46 D52 D58 D64">
    <cfRule type="expression" dxfId="53" priority="147" stopIfTrue="1">
      <formula>IF(AND(OR($D$28="Yes",$D$28=""),D40=""),1,0)</formula>
    </cfRule>
  </conditionalFormatting>
  <conditionalFormatting sqref="D38:E38 D44:E44 D50:E50 D56:E56 D62:E62">
    <cfRule type="expression" dxfId="52" priority="38" stopIfTrue="1">
      <formula>IF(AND(OR($D$26="No",$D$26="Unknown",$D$26="Not applicable for this declaration",$D$32="No",$D$32="Unknown"),D38=""),1,0)</formula>
    </cfRule>
    <cfRule type="expression" dxfId="51" priority="39" stopIfTrue="1">
      <formula>IF(AND(OR($D$26="Yes",$D$26=""),D38=""),1,0)</formula>
    </cfRule>
  </conditionalFormatting>
  <conditionalFormatting sqref="G79:J79">
    <cfRule type="expression" dxfId="50" priority="32" stopIfTrue="1">
      <formula>IF(AND($D$79="Yes, using other format (describe)",$G$79=""),TRUE)</formula>
    </cfRule>
  </conditionalFormatting>
  <conditionalFormatting sqref="D39:E39 D45:E45 D51:E51 D57:E57 D63:E63">
    <cfRule type="expression" dxfId="49" priority="145" stopIfTrue="1">
      <formula>IF(AND(OR($D$27="No",$D$27="Unknown",$D$27="Not applicable for this declaration",$D$33="No",$D$33="Unknown"),D39=""),1,0)</formula>
    </cfRule>
    <cfRule type="expression" dxfId="48" priority="146" stopIfTrue="1">
      <formula>IF(AND(OR($D$27="Yes",$D$27=""),D39=""),1,0)</formula>
    </cfRule>
  </conditionalFormatting>
  <conditionalFormatting sqref="D41:E41 D47:E47 D53:E53 D59:E59 D65:E65">
    <cfRule type="expression" dxfId="47" priority="150" stopIfTrue="1">
      <formula>IF(AND(OR($D$29="Yes",$D$29=""),D41=""),1,0)</formula>
    </cfRule>
  </conditionalFormatting>
  <conditionalFormatting sqref="D20:J20">
    <cfRule type="expression" dxfId="46" priority="20" stopIfTrue="1">
      <formula>IF($D$20="",TRUE)</formula>
    </cfRule>
  </conditionalFormatting>
  <conditionalFormatting sqref="D28 D40 D46 D52 D58 D64">
    <cfRule type="expression" dxfId="45" priority="18">
      <formula>IF($D$28="No",TRUE)</formula>
    </cfRule>
  </conditionalFormatting>
  <conditionalFormatting sqref="D29 D41 D47 D53 D59 D65">
    <cfRule type="expression" dxfId="44" priority="17">
      <formula>IF($D$29="No",TRUE)</formula>
    </cfRule>
  </conditionalFormatting>
  <conditionalFormatting sqref="G71:J71">
    <cfRule type="expression" dxfId="43" priority="14">
      <formula>IF(AND($D$71="Yes",$G$71=""),TRUE)</formula>
    </cfRule>
  </conditionalFormatting>
  <conditionalFormatting sqref="G81:J81">
    <cfRule type="expression" dxfId="42" priority="13">
      <formula>IF(AND($D$81="Yes, using other format (describe)",$G$81=""),TRUE)</formula>
    </cfRule>
  </conditionalFormatting>
  <conditionalFormatting sqref="D32:E32">
    <cfRule type="expression" dxfId="41" priority="7" stopIfTrue="1">
      <formula>IF(AND(OR($D$26="Yes",$D$26=""),$D$32=""),1,0)</formula>
    </cfRule>
    <cfRule type="expression" dxfId="40" priority="11" stopIfTrue="1">
      <formula>IF($P$26="",TRUE)</formula>
    </cfRule>
  </conditionalFormatting>
  <conditionalFormatting sqref="D33:E33">
    <cfRule type="expression" dxfId="39" priority="10" stopIfTrue="1">
      <formula>IF(AND(OR($D$27="Yes",$D$27=""),$D$33=""),1,0)</formula>
    </cfRule>
    <cfRule type="expression" dxfId="38" priority="12" stopIfTrue="1">
      <formula>IF($P$27="",TRUE)</formula>
    </cfRule>
  </conditionalFormatting>
  <conditionalFormatting sqref="D34">
    <cfRule type="expression" dxfId="37" priority="9">
      <formula>IF($D$28="No",TRUE)</formula>
    </cfRule>
  </conditionalFormatting>
  <conditionalFormatting sqref="D35">
    <cfRule type="expression" dxfId="36" priority="8">
      <formula>IF($D$29="No",TRUE)</formula>
    </cfRule>
  </conditionalFormatting>
  <conditionalFormatting sqref="D74:E74">
    <cfRule type="expression" dxfId="35" priority="3" stopIfTrue="1">
      <formula>IF(AND(OR($D$26="No",$D$26="Unknown",$D$26="Not applicable for this declaration",$D$32="No",$D$32="Unknown"),D74=""),1,0)</formula>
    </cfRule>
    <cfRule type="expression" dxfId="34" priority="4" stopIfTrue="1">
      <formula>IF(AND(OR($D$26="Yes",$D$26=""),D74=""),1,0)</formula>
    </cfRule>
  </conditionalFormatting>
  <conditionalFormatting sqref="D75:E75">
    <cfRule type="expression" dxfId="33" priority="5" stopIfTrue="1">
      <formula>IF(AND(OR($D$27="No",$D$27="Unknown",$D$27="Not applicable for this declaration",$D$33="No",$D$33="Unknown"),D75=""),1,0)</formula>
    </cfRule>
    <cfRule type="expression" dxfId="32" priority="6" stopIfTrue="1">
      <formula>IF(AND(OR($D$27="Yes",$D$27=""),D75=""),1,0)</formula>
    </cfRule>
  </conditionalFormatting>
  <conditionalFormatting sqref="D69:E69 D71:E71 D77:E77 D79:E79 D81:E81 D83:E83">
    <cfRule type="expression" dxfId="31" priority="1" stopIfTrue="1">
      <formula>NOT(OR(AND($D$26="Yes",OR($D$32="Yes",$D$32="")),AND($D$27="Yes",OR($D$33="Yes",$D$33="")),OR($D$26="",$D$27="")))</formula>
    </cfRule>
    <cfRule type="expression" dxfId="30"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4B64DD92-9D9F-49F9-BD05-B77B5BCD4FF2}"/>
  </hyperlinks>
  <printOptions horizontalCentered="1"/>
  <pageMargins left="0.70866141732283472" right="0.70866141732283472" top="0.74803149606299213" bottom="0.74803149606299213" header="0.31496062992125984" footer="0.31496062992125984"/>
  <pageSetup scale="28" fitToWidth="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31" zoomScaleNormal="100" workbookViewId="0">
      <selection activeCell="D77" sqref="D77"/>
    </sheetView>
  </sheetViews>
  <sheetFormatPr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5" t="s">
        <v>45</v>
      </c>
      <c r="K2" s="406"/>
      <c r="L2" s="406"/>
      <c r="M2" s="406"/>
      <c r="N2" s="406"/>
      <c r="O2" s="406"/>
      <c r="P2" s="174"/>
      <c r="Q2" s="175"/>
      <c r="R2" s="176"/>
      <c r="S2" s="176"/>
      <c r="T2" s="176"/>
      <c r="AH2" s="132" t="s">
        <v>28</v>
      </c>
    </row>
    <row r="3" spans="1:34" s="17" customFormat="1" ht="240.6" customHeight="1">
      <c r="A3" s="219"/>
      <c r="B3" s="40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7"/>
      <c r="D3" s="407"/>
      <c r="E3" s="407"/>
      <c r="F3" s="177"/>
      <c r="G3" s="408" t="str">
        <f ca="1">OFFSET(L!$C$1,MATCH("General"&amp;"Cpy",L!$A:$A,0)-1,SL,,)</f>
        <v>© 2021 Responsible Minerals Initiative. All rights reserved.</v>
      </c>
      <c r="H3" s="408"/>
      <c r="I3" s="409"/>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215" t="s">
        <v>125</v>
      </c>
      <c r="B5" s="160" t="str">
        <f ca="1">IF(LEN(A5)=0,"",INDEX('Smelter Look-up'!$A:$A,MATCH($A5,'Smelter Look-up'!$E:$E,0)))</f>
        <v>Cobalt</v>
      </c>
      <c r="C5" s="163" t="str">
        <f ca="1">IF(LEN(A5)=0,"",INDEX('Smelter Look-up'!$C:$C,MATCH($A5,'Smelter Look-up'!$E:$E,0)))</f>
        <v>Gem (Jiangsu) Cobalt Industry Co., Ltd.</v>
      </c>
      <c r="D5" s="160"/>
      <c r="E5" s="160" t="str">
        <f ca="1">IF(ISERROR($V5),"",OFFSET('Smelter Look-up'!$D$4,$V5-4,0)&amp;"")</f>
        <v>CHINA</v>
      </c>
      <c r="F5" s="160" t="str">
        <f ca="1">IF(ISERROR($V5),"",OFFSET('Smelter Look-up'!$E$4,$V5-4,0))</f>
        <v>CID003209</v>
      </c>
      <c r="G5" s="160" t="str">
        <f ca="1">IF(C5=$X$4,"Enter smelter details",IF(ISERROR($V5),"",OFFSET('Smelter Look-up'!$F$4,$V5-4,0)))</f>
        <v>RMI</v>
      </c>
      <c r="H5" s="225">
        <f ca="1">IF(ISERROR($V5),"",OFFSET('Smelter Look-up'!$G$4,$V5-4,0))</f>
        <v>0</v>
      </c>
      <c r="I5" s="226" t="str">
        <f ca="1">IF(ISERROR($V5),"",OFFSET('Smelter Look-up'!$H$4,$V5-4,0))</f>
        <v>Taixing</v>
      </c>
      <c r="J5" s="226" t="str">
        <f ca="1">IF(ISERROR($V5),"",OFFSET('Smelter Look-up'!$I$4,$V5-4,0))</f>
        <v>Jiangsu Sheng</v>
      </c>
      <c r="K5" s="161"/>
      <c r="L5" s="161"/>
      <c r="M5" s="161"/>
      <c r="N5" s="161"/>
      <c r="O5" s="161"/>
      <c r="P5" s="228"/>
      <c r="Q5" s="162"/>
      <c r="R5" s="160" t="str">
        <f ca="1">IF(ISERROR($V5),"",OFFSET('Smelter Look-up'!$C$4,$V5-4,0)&amp;"")</f>
        <v>Gem (Jiangsu) Cobalt Industry Co., Ltd.</v>
      </c>
      <c r="S5" s="166" t="str">
        <f t="shared" ref="S5:S63" ca="1" si="0">IF(B5="","",IF(ISERROR(MATCH($E5,CL,0)),"Unknown",INDIRECT("'C'!$A$"&amp;MATCH($E5,CL,0)+1)))</f>
        <v>CN</v>
      </c>
      <c r="T5" s="166" t="str">
        <f ca="1">IF(B5="","",IF(ISERROR(MATCH($J5,SorP!$B$1:$B$6205,0)),"",INDIRECT("'SorP'!$A$"&amp;MATCH($J5,SorP!$B$1:$B$6205,0))))</f>
        <v>CN-JS</v>
      </c>
      <c r="U5" s="180"/>
      <c r="V5" s="181">
        <f ca="1">IF(C5="",NA(),MATCH($B5&amp;$C5,'Smelter Look-up'!$J:$J,0))</f>
        <v>21</v>
      </c>
      <c r="X5" s="182">
        <f t="shared" ref="X5:X62" ca="1" si="1">IF(AND(C5="Smelter not listed",OR(LEN(D5)=0,LEN(E5)=0)),1,0)</f>
        <v>0</v>
      </c>
      <c r="AB5" s="182" t="str">
        <f t="shared" ref="AB5:AB62" ca="1" si="2">B5&amp;C5</f>
        <v>CobaltGem (Jiangsu) Cobalt Industry Co., Ltd.</v>
      </c>
    </row>
    <row r="6" spans="1:34" s="182" customFormat="1" ht="25.5">
      <c r="A6" s="215" t="s">
        <v>203</v>
      </c>
      <c r="B6" s="160" t="str">
        <f ca="1">IF(LEN(A6)=0,"",INDEX('Smelter Look-up'!$A:$A,MATCH($A6,'Smelter Look-up'!$E:$E,0)))</f>
        <v>Cobalt</v>
      </c>
      <c r="C6" s="163" t="str">
        <f ca="1">IF(LEN(A6)=0,"",INDEX('Smelter Look-up'!$C:$C,MATCH($A6,'Smelter Look-up'!$E:$E,0)))</f>
        <v>Lanzhou Jinchuan Advanced Materials Technology Co., Ltd.</v>
      </c>
      <c r="D6" s="160"/>
      <c r="E6" s="160" t="str">
        <f ca="1">IF(ISERROR($V6),"",OFFSET('Smelter Look-up'!$D$4,$V6-4,0)&amp;"")</f>
        <v>CHINA</v>
      </c>
      <c r="F6" s="160" t="str">
        <f ca="1">IF(ISERROR($V6),"",OFFSET('Smelter Look-up'!$E$4,$V6-4,0))</f>
        <v>CID003210</v>
      </c>
      <c r="G6" s="160" t="str">
        <f ca="1">IF(C6=$X$4,"Enter smelter details",IF(ISERROR($V6),"",OFFSET('Smelter Look-up'!$F$4,$V6-4,0)))</f>
        <v>RMI</v>
      </c>
      <c r="H6" s="225">
        <f ca="1">IF(ISERROR($V6),"",OFFSET('Smelter Look-up'!$G$4,$V6-4,0))</f>
        <v>0</v>
      </c>
      <c r="I6" s="226" t="str">
        <f ca="1">IF(ISERROR($V6),"",OFFSET('Smelter Look-up'!$H$4,$V6-4,0))</f>
        <v>Lanzhou</v>
      </c>
      <c r="J6" s="226" t="str">
        <f ca="1">IF(ISERROR($V6),"",OFFSET('Smelter Look-up'!$I$4,$V6-4,0))</f>
        <v>Gansu Sheng</v>
      </c>
      <c r="K6" s="161"/>
      <c r="L6" s="161"/>
      <c r="M6" s="161"/>
      <c r="N6" s="161"/>
      <c r="O6" s="161"/>
      <c r="P6" s="228"/>
      <c r="Q6" s="162"/>
      <c r="R6" s="160" t="str">
        <f ca="1">IF(ISERROR($V6),"",OFFSET('Smelter Look-up'!$C$4,$V6-4,0)&amp;"")</f>
        <v>Lanzhou Jinchuan Advanced Materials Technology Co., Ltd.</v>
      </c>
      <c r="S6" s="166" t="str">
        <f t="shared" ca="1" si="0"/>
        <v>CN</v>
      </c>
      <c r="T6" s="166" t="str">
        <f ca="1">IF(B6="","",IF(ISERROR(MATCH($J6,SorP!$B$1:$B$6205,0)),"",INDIRECT("'SorP'!$A$"&amp;MATCH($J6,SorP!$B$1:$B$6205,0))))</f>
        <v>CN-GS</v>
      </c>
      <c r="U6" s="180"/>
      <c r="V6" s="181">
        <f ca="1">IF(C6="",NA(),MATCH($B6&amp;$C6,'Smelter Look-up'!$J:$J,0))</f>
        <v>49</v>
      </c>
      <c r="X6" s="182">
        <f t="shared" ca="1" si="1"/>
        <v>0</v>
      </c>
      <c r="AB6" s="182" t="str">
        <f t="shared" ca="1" si="2"/>
        <v>CobaltLanzhou Jinchuan Advanced Materials Technology Co., Ltd.</v>
      </c>
    </row>
    <row r="7" spans="1:34" s="182" customFormat="1" ht="20.25">
      <c r="A7" s="215" t="s">
        <v>337</v>
      </c>
      <c r="B7" s="160" t="str">
        <f ca="1">IF(LEN(A7)=0,"",INDEX('Smelter Look-up'!$A:$A,MATCH($A7,'Smelter Look-up'!$E:$E,0)))</f>
        <v>Cobalt</v>
      </c>
      <c r="C7" s="163" t="str">
        <f ca="1">IF(LEN(A7)=0,"",INDEX('Smelter Look-up'!$C:$C,MATCH($A7,'Smelter Look-up'!$E:$E,0)))</f>
        <v>Zhuhai Kelixin Metal Materials Co., Ltd.</v>
      </c>
      <c r="D7" s="160"/>
      <c r="E7" s="160" t="str">
        <f ca="1">IF(ISERROR($V7),"",OFFSET('Smelter Look-up'!$D$4,$V7-4,0)&amp;"")</f>
        <v>CHINA</v>
      </c>
      <c r="F7" s="160" t="str">
        <f ca="1">IF(ISERROR($V7),"",OFFSET('Smelter Look-up'!$E$4,$V7-4,0))</f>
        <v>CID003211</v>
      </c>
      <c r="G7" s="160" t="str">
        <f ca="1">IF(C7=$X$4,"Enter smelter details",IF(ISERROR($V7),"",OFFSET('Smelter Look-up'!$F$4,$V7-4,0)))</f>
        <v>RMI</v>
      </c>
      <c r="H7" s="225">
        <f ca="1">IF(ISERROR($V7),"",OFFSET('Smelter Look-up'!$G$4,$V7-4,0))</f>
        <v>0</v>
      </c>
      <c r="I7" s="226" t="str">
        <f ca="1">IF(ISERROR($V7),"",OFFSET('Smelter Look-up'!$H$4,$V7-4,0))</f>
        <v>Zhuhai</v>
      </c>
      <c r="J7" s="226" t="str">
        <f ca="1">IF(ISERROR($V7),"",OFFSET('Smelter Look-up'!$I$4,$V7-4,0))</f>
        <v>Guangdong Sheng</v>
      </c>
      <c r="K7" s="161"/>
      <c r="L7" s="161"/>
      <c r="M7" s="161"/>
      <c r="N7" s="161"/>
      <c r="O7" s="161"/>
      <c r="P7" s="228"/>
      <c r="Q7" s="162"/>
      <c r="R7" s="160" t="str">
        <f ca="1">IF(ISERROR($V7),"",OFFSET('Smelter Look-up'!$C$4,$V7-4,0)&amp;"")</f>
        <v>Zhuhai Kelixin Metal Materials Co., Ltd.</v>
      </c>
      <c r="S7" s="166" t="str">
        <f t="shared" ca="1" si="0"/>
        <v>CN</v>
      </c>
      <c r="T7" s="166" t="str">
        <f ca="1">IF(B7="","",IF(ISERROR(MATCH($J7,SorP!$B$1:$B$6205,0)),"",INDIRECT("'SorP'!$A$"&amp;MATCH($J7,SorP!$B$1:$B$6205,0))))</f>
        <v>CN-GD</v>
      </c>
      <c r="U7" s="180"/>
      <c r="V7" s="181">
        <f ca="1">IF(C7="",NA(),MATCH($B7&amp;$C7,'Smelter Look-up'!$J:$J,0))</f>
        <v>102</v>
      </c>
      <c r="X7" s="182">
        <f t="shared" ca="1" si="1"/>
        <v>0</v>
      </c>
      <c r="AB7" s="182" t="str">
        <f t="shared" ca="1" si="2"/>
        <v>CobaltZhuhai Kelixin Metal Materials Co., Ltd.</v>
      </c>
    </row>
    <row r="8" spans="1:34" s="182" customFormat="1" ht="25.5">
      <c r="A8" s="215" t="s">
        <v>123</v>
      </c>
      <c r="B8" s="160" t="str">
        <f ca="1">IF(LEN(A8)=0,"",INDEX('Smelter Look-up'!$A:$A,MATCH($A8,'Smelter Look-up'!$E:$E,0)))</f>
        <v>Cobalt</v>
      </c>
      <c r="C8" s="163" t="str">
        <f ca="1">IF(LEN(A8)=0,"",INDEX('Smelter Look-up'!$C:$C,MATCH($A8,'Smelter Look-up'!$E:$E,0)))</f>
        <v>Ganzhou Tengyuan Cobalt New Material Co., Ltd.</v>
      </c>
      <c r="D8" s="160"/>
      <c r="E8" s="160" t="str">
        <f ca="1">IF(ISERROR($V8),"",OFFSET('Smelter Look-up'!$D$4,$V8-4,0)&amp;"")</f>
        <v>CHINA</v>
      </c>
      <c r="F8" s="160" t="str">
        <f ca="1">IF(ISERROR($V8),"",OFFSET('Smelter Look-up'!$E$4,$V8-4,0))</f>
        <v>CID003212</v>
      </c>
      <c r="G8" s="160" t="str">
        <f ca="1">IF(C8=$X$4,"Enter smelter details",IF(ISERROR($V8),"",OFFSET('Smelter Look-up'!$F$4,$V8-4,0)))</f>
        <v>RMI</v>
      </c>
      <c r="H8" s="225">
        <f ca="1">IF(ISERROR($V8),"",OFFSET('Smelter Look-up'!$G$4,$V8-4,0))</f>
        <v>0</v>
      </c>
      <c r="I8" s="226" t="str">
        <f ca="1">IF(ISERROR($V8),"",OFFSET('Smelter Look-up'!$H$4,$V8-4,0))</f>
        <v>Ganzhou</v>
      </c>
      <c r="J8" s="226" t="str">
        <f ca="1">IF(ISERROR($V8),"",OFFSET('Smelter Look-up'!$I$4,$V8-4,0))</f>
        <v>Jiangxi Sheng</v>
      </c>
      <c r="K8" s="161"/>
      <c r="L8" s="161"/>
      <c r="M8" s="161"/>
      <c r="N8" s="161"/>
      <c r="O8" s="161"/>
      <c r="P8" s="228"/>
      <c r="Q8" s="162"/>
      <c r="R8" s="160" t="str">
        <f ca="1">IF(ISERROR($V8),"",OFFSET('Smelter Look-up'!$C$4,$V8-4,0)&amp;"")</f>
        <v>Ganzhou Tengyuan Cobalt New Material Co., Ltd.</v>
      </c>
      <c r="S8" s="166" t="str">
        <f t="shared" ca="1" si="0"/>
        <v>CN</v>
      </c>
      <c r="T8" s="166" t="str">
        <f ca="1">IF(B8="","",IF(ISERROR(MATCH($J8,SorP!$B$1:$B$6205,0)),"",INDIRECT("'SorP'!$A$"&amp;MATCH($J8,SorP!$B$1:$B$6205,0))))</f>
        <v>CN-JX</v>
      </c>
      <c r="U8" s="180"/>
      <c r="V8" s="181">
        <f ca="1">IF(C8="",NA(),MATCH($B8&amp;$C8,'Smelter Look-up'!$J:$J,0))</f>
        <v>20</v>
      </c>
      <c r="X8" s="182">
        <f t="shared" ca="1" si="1"/>
        <v>0</v>
      </c>
      <c r="AB8" s="182" t="str">
        <f t="shared" ca="1" si="2"/>
        <v>CobaltGanzhou Tengyuan Cobalt New Material Co., Ltd.</v>
      </c>
    </row>
    <row r="9" spans="1:34" s="182" customFormat="1" ht="25.5">
      <c r="A9" s="215" t="s">
        <v>138</v>
      </c>
      <c r="B9" s="160" t="str">
        <f ca="1">IF(LEN(A9)=0,"",INDEX('Smelter Look-up'!$A:$A,MATCH($A9,'Smelter Look-up'!$E:$E,0)))</f>
        <v>Cobalt</v>
      </c>
      <c r="C9" s="163" t="str">
        <f ca="1">IF(LEN(A9)=0,"",INDEX('Smelter Look-up'!$C:$C,MATCH($A9,'Smelter Look-up'!$E:$E,0)))</f>
        <v>Guangxi Yinyi Advanced Material Co., Ltd.</v>
      </c>
      <c r="D9" s="160"/>
      <c r="E9" s="160" t="str">
        <f ca="1">IF(ISERROR($V9),"",OFFSET('Smelter Look-up'!$D$4,$V9-4,0)&amp;"")</f>
        <v>CHINA</v>
      </c>
      <c r="F9" s="160" t="str">
        <f ca="1">IF(ISERROR($V9),"",OFFSET('Smelter Look-up'!$E$4,$V9-4,0))</f>
        <v>CID003213</v>
      </c>
      <c r="G9" s="160" t="str">
        <f ca="1">IF(C9=$X$4,"Enter smelter details",IF(ISERROR($V9),"",OFFSET('Smelter Look-up'!$F$4,$V9-4,0)))</f>
        <v>RMI</v>
      </c>
      <c r="H9" s="225">
        <f ca="1">IF(ISERROR($V9),"",OFFSET('Smelter Look-up'!$G$4,$V9-4,0))</f>
        <v>0</v>
      </c>
      <c r="I9" s="226" t="str">
        <f ca="1">IF(ISERROR($V9),"",OFFSET('Smelter Look-up'!$H$4,$V9-4,0))</f>
        <v>Yulin</v>
      </c>
      <c r="J9" s="226" t="str">
        <f ca="1">IF(ISERROR($V9),"",OFFSET('Smelter Look-up'!$I$4,$V9-4,0))</f>
        <v>Guangxi Zhuangzu Zizhiqu</v>
      </c>
      <c r="K9" s="161"/>
      <c r="L9" s="161"/>
      <c r="M9" s="161"/>
      <c r="N9" s="161"/>
      <c r="O9" s="161"/>
      <c r="P9" s="228"/>
      <c r="Q9" s="162"/>
      <c r="R9" s="160" t="str">
        <f ca="1">IF(ISERROR($V9),"",OFFSET('Smelter Look-up'!$C$4,$V9-4,0)&amp;"")</f>
        <v>Guangxi Yinyi Advanced Material Co., Ltd.</v>
      </c>
      <c r="S9" s="166" t="str">
        <f t="shared" ca="1" si="0"/>
        <v>CN</v>
      </c>
      <c r="T9" s="166" t="str">
        <f ca="1">IF(B9="","",IF(ISERROR(MATCH($J9,SorP!$B$1:$B$6205,0)),"",INDIRECT("'SorP'!$A$"&amp;MATCH($J9,SorP!$B$1:$B$6205,0))))</f>
        <v>CN-GX</v>
      </c>
      <c r="U9" s="180"/>
      <c r="V9" s="181">
        <f ca="1">IF(C9="",NA(),MATCH($B9&amp;$C9,'Smelter Look-up'!$J:$J,0))</f>
        <v>24</v>
      </c>
      <c r="X9" s="182">
        <f t="shared" ca="1" si="1"/>
        <v>0</v>
      </c>
      <c r="AB9" s="182" t="str">
        <f t="shared" ca="1" si="2"/>
        <v>CobaltGuangxi Yinyi Advanced Material Co., Ltd.</v>
      </c>
    </row>
    <row r="10" spans="1:34" s="182" customFormat="1" ht="25.5">
      <c r="A10" s="215" t="s">
        <v>213</v>
      </c>
      <c r="B10" s="160" t="str">
        <f ca="1">IF(LEN(A10)=0,"",INDEX('Smelter Look-up'!$A:$A,MATCH($A10,'Smelter Look-up'!$E:$E,0)))</f>
        <v>Cobalt</v>
      </c>
      <c r="C10" s="163" t="str">
        <f ca="1">IF(LEN(A10)=0,"",INDEX('Smelter Look-up'!$C:$C,MATCH($A10,'Smelter Look-up'!$E:$E,0)))</f>
        <v>Tianjin Maolian Science &amp; Technology Co., Ltd.</v>
      </c>
      <c r="D10" s="160"/>
      <c r="E10" s="160" t="str">
        <f ca="1">IF(ISERROR($V10),"",OFFSET('Smelter Look-up'!$D$4,$V10-4,0)&amp;"")</f>
        <v>CHINA</v>
      </c>
      <c r="F10" s="160" t="str">
        <f ca="1">IF(ISERROR($V10),"",OFFSET('Smelter Look-up'!$E$4,$V10-4,0))</f>
        <v>CID003215</v>
      </c>
      <c r="G10" s="160" t="str">
        <f ca="1">IF(C10=$X$4,"Enter smelter details",IF(ISERROR($V10),"",OFFSET('Smelter Look-up'!$F$4,$V10-4,0)))</f>
        <v>RMI</v>
      </c>
      <c r="H10" s="225">
        <f ca="1">IF(ISERROR($V10),"",OFFSET('Smelter Look-up'!$G$4,$V10-4,0))</f>
        <v>0</v>
      </c>
      <c r="I10" s="226" t="str">
        <f ca="1">IF(ISERROR($V10),"",OFFSET('Smelter Look-up'!$H$4,$V10-4,0))</f>
        <v>Tianjin</v>
      </c>
      <c r="J10" s="226" t="str">
        <f ca="1">IF(ISERROR($V10),"",OFFSET('Smelter Look-up'!$I$4,$V10-4,0))</f>
        <v>Tianjin Shi</v>
      </c>
      <c r="K10" s="161"/>
      <c r="L10" s="161"/>
      <c r="M10" s="161"/>
      <c r="N10" s="161"/>
      <c r="O10" s="161"/>
      <c r="P10" s="228"/>
      <c r="Q10" s="162"/>
      <c r="R10" s="160" t="str">
        <f ca="1">IF(ISERROR($V10),"",OFFSET('Smelter Look-up'!$C$4,$V10-4,0)&amp;"")</f>
        <v>Tianjin Maolian Science &amp; Technology Co., Ltd.</v>
      </c>
      <c r="S10" s="166" t="str">
        <f t="shared" ca="1" si="0"/>
        <v>CN</v>
      </c>
      <c r="T10" s="166" t="str">
        <f ca="1">IF(B10="","",IF(ISERROR(MATCH($J10,SorP!$B$1:$B$6205,0)),"",INDIRECT("'SorP'!$A$"&amp;MATCH($J10,SorP!$B$1:$B$6205,0))))</f>
        <v>CN-TJ</v>
      </c>
      <c r="U10" s="180"/>
      <c r="V10" s="181">
        <f ca="1">IF(C10="",NA(),MATCH($B10&amp;$C10,'Smelter Look-up'!$J:$J,0))</f>
        <v>89</v>
      </c>
      <c r="X10" s="182">
        <f t="shared" ca="1" si="1"/>
        <v>0</v>
      </c>
      <c r="AB10" s="182" t="str">
        <f t="shared" ca="1" si="2"/>
        <v>CobaltTianjin Maolian Science &amp; Technology Co., Ltd.</v>
      </c>
    </row>
    <row r="11" spans="1:34" s="182" customFormat="1" ht="25.5">
      <c r="A11" s="216" t="s">
        <v>155</v>
      </c>
      <c r="B11" s="160" t="str">
        <f ca="1">IF(LEN(A11)=0,"",INDEX('Smelter Look-up'!$A:$A,MATCH($A11,'Smelter Look-up'!$E:$E,0)))</f>
        <v>Cobalt</v>
      </c>
      <c r="C11" s="163" t="str">
        <f ca="1">IF(LEN(A11)=0,"",INDEX('Smelter Look-up'!$C:$C,MATCH($A11,'Smelter Look-up'!$E:$E,0)))</f>
        <v>Hunan Brunp Recycling Technology Co., Ltd.</v>
      </c>
      <c r="D11" s="160"/>
      <c r="E11" s="160" t="str">
        <f ca="1">IF(ISERROR($V11),"",OFFSET('Smelter Look-up'!$D$4,$V11-4,0)&amp;"")</f>
        <v>CHINA</v>
      </c>
      <c r="F11" s="160" t="str">
        <f ca="1">IF(ISERROR($V11),"",OFFSET('Smelter Look-up'!$E$4,$V11-4,0))</f>
        <v>CID003219</v>
      </c>
      <c r="G11" s="160" t="str">
        <f ca="1">IF(C11=$X$4,"Enter smelter details",IF(ISERROR($V11),"",OFFSET('Smelter Look-up'!$F$4,$V11-4,0)))</f>
        <v>RMI</v>
      </c>
      <c r="H11" s="225">
        <f ca="1">IF(ISERROR($V11),"",OFFSET('Smelter Look-up'!$G$4,$V11-4,0))</f>
        <v>0</v>
      </c>
      <c r="I11" s="226" t="str">
        <f ca="1">IF(ISERROR($V11),"",OFFSET('Smelter Look-up'!$H$4,$V11-4,0))</f>
        <v>Changsha</v>
      </c>
      <c r="J11" s="226" t="str">
        <f ca="1">IF(ISERROR($V11),"",OFFSET('Smelter Look-up'!$I$4,$V11-4,0))</f>
        <v>Hunan Sheng</v>
      </c>
      <c r="K11" s="161"/>
      <c r="L11" s="161"/>
      <c r="M11" s="161"/>
      <c r="N11" s="161"/>
      <c r="O11" s="161"/>
      <c r="P11" s="228"/>
      <c r="Q11" s="162"/>
      <c r="R11" s="160" t="str">
        <f ca="1">IF(ISERROR($V11),"",OFFSET('Smelter Look-up'!$C$4,$V11-4,0)&amp;"")</f>
        <v>Hunan Brunp Recycling Technology Co., Ltd.</v>
      </c>
      <c r="S11" s="166" t="str">
        <f t="shared" ca="1" si="0"/>
        <v>CN</v>
      </c>
      <c r="T11" s="166" t="str">
        <f ca="1">IF(B11="","",IF(ISERROR(MATCH($J11,SorP!$B$1:$B$6205,0)),"",INDIRECT("'SorP'!$A$"&amp;MATCH($J11,SorP!$B$1:$B$6205,0))))</f>
        <v>CN-HN</v>
      </c>
      <c r="U11" s="180"/>
      <c r="V11" s="181">
        <f ca="1">IF(C11="",NA(),MATCH($B11&amp;$C11,'Smelter Look-up'!$J:$J,0))</f>
        <v>29</v>
      </c>
      <c r="X11" s="182">
        <f t="shared" ca="1" si="1"/>
        <v>0</v>
      </c>
      <c r="AB11" s="182" t="str">
        <f t="shared" ca="1" si="2"/>
        <v>CobaltHunan Brunp Recycling Technology Co., Ltd.</v>
      </c>
    </row>
    <row r="12" spans="1:34" s="182" customFormat="1" ht="25.5">
      <c r="A12" s="215" t="s">
        <v>255</v>
      </c>
      <c r="B12" s="160" t="str">
        <f ca="1">IF(LEN(A12)=0,"",INDEX('Smelter Look-up'!$A:$A,MATCH($A12,'Smelter Look-up'!$E:$E,0)))</f>
        <v>Cobalt</v>
      </c>
      <c r="C12" s="163" t="str">
        <f ca="1">IF(LEN(A12)=0,"",INDEX('Smelter Look-up'!$C:$C,MATCH($A12,'Smelter Look-up'!$E:$E,0)))</f>
        <v>Nantong Xinwei Nickel Cobalt Technology Development Co., Ltd.</v>
      </c>
      <c r="D12" s="160"/>
      <c r="E12" s="160" t="str">
        <f ca="1">IF(ISERROR($V12),"",OFFSET('Smelter Look-up'!$D$4,$V12-4,0)&amp;"")</f>
        <v>CHINA</v>
      </c>
      <c r="F12" s="160" t="str">
        <f ca="1">IF(ISERROR($V12),"",OFFSET('Smelter Look-up'!$E$4,$V12-4,0))</f>
        <v>CID003221</v>
      </c>
      <c r="G12" s="160" t="str">
        <f ca="1">IF(C12=$X$4,"Enter smelter details",IF(ISERROR($V12),"",OFFSET('Smelter Look-up'!$F$4,$V12-4,0)))</f>
        <v>RMI</v>
      </c>
      <c r="H12" s="225">
        <f ca="1">IF(ISERROR($V12),"",OFFSET('Smelter Look-up'!$G$4,$V12-4,0))</f>
        <v>0</v>
      </c>
      <c r="I12" s="226" t="str">
        <f ca="1">IF(ISERROR($V12),"",OFFSET('Smelter Look-up'!$H$4,$V12-4,0))</f>
        <v>Haimei</v>
      </c>
      <c r="J12" s="226" t="str">
        <f ca="1">IF(ISERROR($V12),"",OFFSET('Smelter Look-up'!$I$4,$V12-4,0))</f>
        <v>Jiangsu Sheng</v>
      </c>
      <c r="K12" s="161"/>
      <c r="L12" s="161"/>
      <c r="M12" s="161"/>
      <c r="N12" s="161"/>
      <c r="O12" s="161"/>
      <c r="P12" s="228"/>
      <c r="Q12" s="162"/>
      <c r="R12" s="160" t="str">
        <f ca="1">IF(ISERROR($V12),"",OFFSET('Smelter Look-up'!$C$4,$V12-4,0)&amp;"")</f>
        <v>Nantong Xinwei Nickel Cobalt Technology Development Co., Ltd.</v>
      </c>
      <c r="S12" s="166" t="str">
        <f t="shared" ca="1" si="0"/>
        <v>CN</v>
      </c>
      <c r="T12" s="166" t="str">
        <f ca="1">IF(B12="","",IF(ISERROR(MATCH($J12,SorP!$B$1:$B$6205,0)),"",INDIRECT("'SorP'!$A$"&amp;MATCH($J12,SorP!$B$1:$B$6205,0))))</f>
        <v>CN-JS</v>
      </c>
      <c r="U12" s="180"/>
      <c r="V12" s="181">
        <f ca="1">IF(C12="",NA(),MATCH($B12&amp;$C12,'Smelter Look-up'!$J:$J,0))</f>
        <v>68</v>
      </c>
      <c r="X12" s="182">
        <f t="shared" ca="1" si="1"/>
        <v>0</v>
      </c>
      <c r="AB12" s="182" t="str">
        <f t="shared" ca="1" si="2"/>
        <v>CobaltNantong Xinwei Nickel Cobalt Technology Development Co., Ltd.</v>
      </c>
    </row>
    <row r="13" spans="1:34" s="182" customFormat="1" ht="20.25">
      <c r="A13" s="215" t="s">
        <v>332</v>
      </c>
      <c r="B13" s="160" t="str">
        <f ca="1">IF(LEN(A13)=0,"",INDEX('Smelter Look-up'!$A:$A,MATCH($A13,'Smelter Look-up'!$E:$E,0)))</f>
        <v>Cobalt</v>
      </c>
      <c r="C13" s="163" t="str">
        <f ca="1">IF(LEN(A13)=0,"",INDEX('Smelter Look-up'!$C:$C,MATCH($A13,'Smelter Look-up'!$E:$E,0)))</f>
        <v>Zhejiang Huayou Cobalt Company Limited</v>
      </c>
      <c r="D13" s="160"/>
      <c r="E13" s="160" t="str">
        <f ca="1">IF(ISERROR($V13),"",OFFSET('Smelter Look-up'!$D$4,$V13-4,0)&amp;"")</f>
        <v>CHINA</v>
      </c>
      <c r="F13" s="160" t="str">
        <f ca="1">IF(ISERROR($V13),"",OFFSET('Smelter Look-up'!$E$4,$V13-4,0))</f>
        <v>CID003225</v>
      </c>
      <c r="G13" s="160" t="str">
        <f ca="1">IF(C13=$X$4,"Enter smelter details",IF(ISERROR($V13),"",OFFSET('Smelter Look-up'!$F$4,$V13-4,0)))</f>
        <v>RMI</v>
      </c>
      <c r="H13" s="225">
        <f ca="1">IF(ISERROR($V13),"",OFFSET('Smelter Look-up'!$G$4,$V13-4,0))</f>
        <v>0</v>
      </c>
      <c r="I13" s="226" t="str">
        <f ca="1">IF(ISERROR($V13),"",OFFSET('Smelter Look-up'!$H$4,$V13-4,0))</f>
        <v>Tongxiang</v>
      </c>
      <c r="J13" s="226" t="str">
        <f ca="1">IF(ISERROR($V13),"",OFFSET('Smelter Look-up'!$I$4,$V13-4,0))</f>
        <v>Zhejiang Sheng</v>
      </c>
      <c r="K13" s="161"/>
      <c r="L13" s="161"/>
      <c r="M13" s="161"/>
      <c r="N13" s="161"/>
      <c r="O13" s="161"/>
      <c r="P13" s="228"/>
      <c r="Q13" s="162"/>
      <c r="R13" s="160" t="str">
        <f ca="1">IF(ISERROR($V13),"",OFFSET('Smelter Look-up'!$C$4,$V13-4,0)&amp;"")</f>
        <v>Zhejiang Huayou Cobalt Company Limited</v>
      </c>
      <c r="S13" s="166" t="str">
        <f t="shared" ca="1" si="0"/>
        <v>CN</v>
      </c>
      <c r="T13" s="166" t="str">
        <f ca="1">IF(B13="","",IF(ISERROR(MATCH($J13,SorP!$B$1:$B$6205,0)),"",INDIRECT("'SorP'!$A$"&amp;MATCH($J13,SorP!$B$1:$B$6205,0))))</f>
        <v>CN-ZJ</v>
      </c>
      <c r="U13" s="180"/>
      <c r="V13" s="181">
        <f ca="1">IF(C13="",NA(),MATCH($B13&amp;$C13,'Smelter Look-up'!$J:$J,0))</f>
        <v>100</v>
      </c>
      <c r="X13" s="182">
        <f t="shared" ca="1" si="1"/>
        <v>0</v>
      </c>
      <c r="AB13" s="182" t="str">
        <f t="shared" ca="1" si="2"/>
        <v>CobaltZhejiang Huayou Cobalt Company Limited</v>
      </c>
    </row>
    <row r="14" spans="1:34" s="182" customFormat="1" ht="25.5">
      <c r="A14" s="216" t="s">
        <v>113</v>
      </c>
      <c r="B14" s="160" t="str">
        <f ca="1">IF(LEN(A14)=0,"",INDEX('Smelter Look-up'!$A:$A,MATCH($A14,'Smelter Look-up'!$E:$E,0)))</f>
        <v>Cobalt</v>
      </c>
      <c r="C14" s="163" t="str">
        <f ca="1">IF(LEN(A14)=0,"",INDEX('Smelter Look-up'!$C:$C,MATCH($A14,'Smelter Look-up'!$E:$E,0)))</f>
        <v>Umicore Finland Oy</v>
      </c>
      <c r="D14" s="160"/>
      <c r="E14" s="160" t="str">
        <f ca="1">IF(ISERROR($V14),"",OFFSET('Smelter Look-up'!$D$4,$V14-4,0)&amp;"")</f>
        <v>FINLAND</v>
      </c>
      <c r="F14" s="160" t="str">
        <f ca="1">IF(ISERROR($V14),"",OFFSET('Smelter Look-up'!$E$4,$V14-4,0))</f>
        <v>CID003226</v>
      </c>
      <c r="G14" s="160" t="str">
        <f ca="1">IF(C14=$X$4,"Enter smelter details",IF(ISERROR($V14),"",OFFSET('Smelter Look-up'!$F$4,$V14-4,0)))</f>
        <v>RMI</v>
      </c>
      <c r="H14" s="225">
        <f ca="1">IF(ISERROR($V14),"",OFFSET('Smelter Look-up'!$G$4,$V14-4,0))</f>
        <v>0</v>
      </c>
      <c r="I14" s="226" t="str">
        <f ca="1">IF(ISERROR($V14),"",OFFSET('Smelter Look-up'!$H$4,$V14-4,0))</f>
        <v>Kokkola</v>
      </c>
      <c r="J14" s="226" t="str">
        <f ca="1">IF(ISERROR($V14),"",OFFSET('Smelter Look-up'!$I$4,$V14-4,0))</f>
        <v>Mellersta Österbotten</v>
      </c>
      <c r="K14" s="161"/>
      <c r="L14" s="161"/>
      <c r="M14" s="161"/>
      <c r="N14" s="161"/>
      <c r="O14" s="161"/>
      <c r="P14" s="228"/>
      <c r="Q14" s="162"/>
      <c r="R14" s="160" t="str">
        <f ca="1">IF(ISERROR($V14),"",OFFSET('Smelter Look-up'!$C$4,$V14-4,0)&amp;"")</f>
        <v>Umicore Finland Oy</v>
      </c>
      <c r="S14" s="166" t="str">
        <f t="shared" ca="1" si="0"/>
        <v>FI</v>
      </c>
      <c r="T14" s="166" t="str">
        <f ca="1">IF(B14="","",IF(ISERROR(MATCH($J14,SorP!$B$1:$B$6205,0)),"",INDIRECT("'SorP'!$A$"&amp;MATCH($J14,SorP!$B$1:$B$6205,0))))</f>
        <v>FI-07</v>
      </c>
      <c r="U14" s="180"/>
      <c r="V14" s="181">
        <f ca="1">IF(C14="",NA(),MATCH($B14&amp;$C14,'Smelter Look-up'!$J:$J,0))</f>
        <v>90</v>
      </c>
      <c r="X14" s="182">
        <f t="shared" ca="1" si="1"/>
        <v>0</v>
      </c>
      <c r="AB14" s="182" t="str">
        <f t="shared" ca="1" si="2"/>
        <v>CobaltUmicore Finland Oy</v>
      </c>
    </row>
    <row r="15" spans="1:34" s="182" customFormat="1" ht="20.25">
      <c r="A15" s="216" t="s">
        <v>117</v>
      </c>
      <c r="B15" s="160" t="str">
        <f ca="1">IF(LEN(A15)=0,"",INDEX('Smelter Look-up'!$A:$A,MATCH($A15,'Smelter Look-up'!$E:$E,0)))</f>
        <v>Cobalt</v>
      </c>
      <c r="C15" s="163" t="str">
        <f ca="1">IF(LEN(A15)=0,"",INDEX('Smelter Look-up'!$C:$C,MATCH($A15,'Smelter Look-up'!$E:$E,0)))</f>
        <v>Gangzhou Yi Hao Umicore Industry Co.</v>
      </c>
      <c r="D15" s="160"/>
      <c r="E15" s="160" t="str">
        <f ca="1">IF(ISERROR($V15),"",OFFSET('Smelter Look-up'!$D$4,$V15-4,0)&amp;"")</f>
        <v>CHINA</v>
      </c>
      <c r="F15" s="160" t="str">
        <f ca="1">IF(ISERROR($V15),"",OFFSET('Smelter Look-up'!$E$4,$V15-4,0))</f>
        <v>CID003227</v>
      </c>
      <c r="G15" s="160" t="str">
        <f ca="1">IF(C15=$X$4,"Enter smelter details",IF(ISERROR($V15),"",OFFSET('Smelter Look-up'!$F$4,$V15-4,0)))</f>
        <v>RMI</v>
      </c>
      <c r="H15" s="225">
        <f ca="1">IF(ISERROR($V15),"",OFFSET('Smelter Look-up'!$G$4,$V15-4,0))</f>
        <v>0</v>
      </c>
      <c r="I15" s="226" t="str">
        <f ca="1">IF(ISERROR($V15),"",OFFSET('Smelter Look-up'!$H$4,$V15-4,0))</f>
        <v>Ganzhou</v>
      </c>
      <c r="J15" s="226" t="str">
        <f ca="1">IF(ISERROR($V15),"",OFFSET('Smelter Look-up'!$I$4,$V15-4,0))</f>
        <v>Jiangxi Sheng</v>
      </c>
      <c r="K15" s="161"/>
      <c r="L15" s="161"/>
      <c r="M15" s="161"/>
      <c r="N15" s="161"/>
      <c r="O15" s="161"/>
      <c r="P15" s="228"/>
      <c r="Q15" s="162"/>
      <c r="R15" s="160" t="str">
        <f ca="1">IF(ISERROR($V15),"",OFFSET('Smelter Look-up'!$C$4,$V15-4,0)&amp;"")</f>
        <v>Gangzhou Yi Hao Umicore Industry Co.</v>
      </c>
      <c r="S15" s="166" t="str">
        <f t="shared" ca="1" si="0"/>
        <v>CN</v>
      </c>
      <c r="T15" s="166" t="str">
        <f ca="1">IF(B15="","",IF(ISERROR(MATCH($J15,SorP!$B$1:$B$6205,0)),"",INDIRECT("'SorP'!$A$"&amp;MATCH($J15,SorP!$B$1:$B$6205,0))))</f>
        <v>CN-JX</v>
      </c>
      <c r="U15" s="180"/>
      <c r="V15" s="181">
        <f ca="1">IF(C15="",NA(),MATCH($B15&amp;$C15,'Smelter Look-up'!$J:$J,0))</f>
        <v>18</v>
      </c>
      <c r="X15" s="182">
        <f t="shared" ca="1" si="1"/>
        <v>0</v>
      </c>
      <c r="AB15" s="182" t="str">
        <f t="shared" ca="1" si="2"/>
        <v>CobaltGangzhou Yi Hao Umicore Industry Co.</v>
      </c>
    </row>
    <row r="16" spans="1:34" s="182" customFormat="1" ht="20.25">
      <c r="A16" s="215" t="s">
        <v>305</v>
      </c>
      <c r="B16" s="160" t="str">
        <f ca="1">IF(LEN(A16)=0,"",INDEX('Smelter Look-up'!$A:$A,MATCH($A16,'Smelter Look-up'!$E:$E,0)))</f>
        <v>Cobalt</v>
      </c>
      <c r="C16" s="163" t="str">
        <f ca="1">IF(LEN(A16)=0,"",INDEX('Smelter Look-up'!$C:$C,MATCH($A16,'Smelter Look-up'!$E:$E,0)))</f>
        <v>Umicore Olen</v>
      </c>
      <c r="D16" s="160"/>
      <c r="E16" s="160" t="str">
        <f ca="1">IF(ISERROR($V16),"",OFFSET('Smelter Look-up'!$D$4,$V16-4,0)&amp;"")</f>
        <v>BELGIUM</v>
      </c>
      <c r="F16" s="160" t="str">
        <f ca="1">IF(ISERROR($V16),"",OFFSET('Smelter Look-up'!$E$4,$V16-4,0))</f>
        <v>CID003228</v>
      </c>
      <c r="G16" s="160" t="str">
        <f ca="1">IF(C16=$X$4,"Enter smelter details",IF(ISERROR($V16),"",OFFSET('Smelter Look-up'!$F$4,$V16-4,0)))</f>
        <v>RMI</v>
      </c>
      <c r="H16" s="225">
        <f ca="1">IF(ISERROR($V16),"",OFFSET('Smelter Look-up'!$G$4,$V16-4,0))</f>
        <v>0</v>
      </c>
      <c r="I16" s="226" t="str">
        <f ca="1">IF(ISERROR($V16),"",OFFSET('Smelter Look-up'!$H$4,$V16-4,0))</f>
        <v>Olen</v>
      </c>
      <c r="J16" s="226" t="str">
        <f ca="1">IF(ISERROR($V16),"",OFFSET('Smelter Look-up'!$I$4,$V16-4,0))</f>
        <v>Antwerpen</v>
      </c>
      <c r="K16" s="161"/>
      <c r="L16" s="161"/>
      <c r="M16" s="161"/>
      <c r="N16" s="161"/>
      <c r="O16" s="161"/>
      <c r="P16" s="228"/>
      <c r="Q16" s="162"/>
      <c r="R16" s="160" t="str">
        <f ca="1">IF(ISERROR($V16),"",OFFSET('Smelter Look-up'!$C$4,$V16-4,0)&amp;"")</f>
        <v>Umicore Olen</v>
      </c>
      <c r="S16" s="166" t="str">
        <f t="shared" ca="1" si="0"/>
        <v>BE</v>
      </c>
      <c r="T16" s="166" t="str">
        <f ca="1">IF(B16="","",IF(ISERROR(MATCH($J16,SorP!$B$1:$B$6205,0)),"",INDIRECT("'SorP'!$A$"&amp;MATCH($J16,SorP!$B$1:$B$6205,0))))</f>
        <v>BE-VAN</v>
      </c>
      <c r="U16" s="180"/>
      <c r="V16" s="181">
        <f ca="1">IF(C16="",NA(),MATCH($B16&amp;$C16,'Smelter Look-up'!$J:$J,0))</f>
        <v>91</v>
      </c>
      <c r="X16" s="182">
        <f t="shared" ca="1" si="1"/>
        <v>0</v>
      </c>
      <c r="AB16" s="182" t="str">
        <f t="shared" ca="1" si="2"/>
        <v>CobaltUmicore Olen</v>
      </c>
    </row>
    <row r="17" spans="1:28" s="182" customFormat="1" ht="20.25">
      <c r="A17" s="215" t="s">
        <v>99</v>
      </c>
      <c r="B17" s="160" t="str">
        <f ca="1">IF(LEN(A17)=0,"",INDEX('Smelter Look-up'!$A:$A,MATCH($A17,'Smelter Look-up'!$E:$E,0)))</f>
        <v>Cobalt</v>
      </c>
      <c r="C17" s="163" t="str">
        <f ca="1">IF(LEN(A17)=0,"",INDEX('Smelter Look-up'!$C:$C,MATCH($A17,'Smelter Look-up'!$E:$E,0)))</f>
        <v>Dynatec Madagascar Company</v>
      </c>
      <c r="D17" s="160"/>
      <c r="E17" s="160" t="str">
        <f ca="1">IF(ISERROR($V17),"",OFFSET('Smelter Look-up'!$D$4,$V17-4,0)&amp;"")</f>
        <v>MADAGASCAR</v>
      </c>
      <c r="F17" s="160" t="str">
        <f ca="1">IF(ISERROR($V17),"",OFFSET('Smelter Look-up'!$E$4,$V17-4,0))</f>
        <v>CID003232</v>
      </c>
      <c r="G17" s="160" t="str">
        <f ca="1">IF(C17=$X$4,"Enter smelter details",IF(ISERROR($V17),"",OFFSET('Smelter Look-up'!$F$4,$V17-4,0)))</f>
        <v>RMI</v>
      </c>
      <c r="H17" s="225">
        <f ca="1">IF(ISERROR($V17),"",OFFSET('Smelter Look-up'!$G$4,$V17-4,0))</f>
        <v>0</v>
      </c>
      <c r="I17" s="226" t="str">
        <f ca="1">IF(ISERROR($V17),"",OFFSET('Smelter Look-up'!$H$4,$V17-4,0))</f>
        <v>Toamasina</v>
      </c>
      <c r="J17" s="226" t="str">
        <f ca="1">IF(ISERROR($V17),"",OFFSET('Smelter Look-up'!$I$4,$V17-4,0))</f>
        <v>Toamasina</v>
      </c>
      <c r="K17" s="161"/>
      <c r="L17" s="161"/>
      <c r="M17" s="161"/>
      <c r="N17" s="161"/>
      <c r="O17" s="161"/>
      <c r="P17" s="228"/>
      <c r="Q17" s="162"/>
      <c r="R17" s="160" t="str">
        <f ca="1">IF(ISERROR($V17),"",OFFSET('Smelter Look-up'!$C$4,$V17-4,0)&amp;"")</f>
        <v>Dynatec Madagascar Company</v>
      </c>
      <c r="S17" s="166" t="str">
        <f t="shared" ca="1" si="0"/>
        <v>MG</v>
      </c>
      <c r="T17" s="166" t="str">
        <f ca="1">IF(B17="","",IF(ISERROR(MATCH($J17,SorP!$B$1:$B$6205,0)),"",INDIRECT("'SorP'!$A$"&amp;MATCH($J17,SorP!$B$1:$B$6205,0))))</f>
        <v>MG-A</v>
      </c>
      <c r="U17" s="180"/>
      <c r="V17" s="181">
        <f ca="1">IF(C17="",NA(),MATCH($B17&amp;$C17,'Smelter Look-up'!$J:$J,0))</f>
        <v>14</v>
      </c>
      <c r="X17" s="182">
        <f t="shared" ca="1" si="1"/>
        <v>0</v>
      </c>
      <c r="AB17" s="182" t="str">
        <f t="shared" ca="1" si="2"/>
        <v>CobaltDynatec Madagascar Company</v>
      </c>
    </row>
    <row r="18" spans="1:28" s="182" customFormat="1" ht="25.5">
      <c r="A18" s="215" t="s">
        <v>191</v>
      </c>
      <c r="B18" s="160" t="str">
        <f ca="1">IF(LEN(A18)=0,"",INDEX('Smelter Look-up'!$A:$A,MATCH($A18,'Smelter Look-up'!$E:$E,0)))</f>
        <v>Cobalt</v>
      </c>
      <c r="C18" s="163" t="str">
        <f ca="1">IF(LEN(A18)=0,"",INDEX('Smelter Look-up'!$C:$C,MATCH($A18,'Smelter Look-up'!$E:$E,0)))</f>
        <v>JSC Kolskaya Mining and Metallurgical Company (Kola MMC)</v>
      </c>
      <c r="D18" s="160"/>
      <c r="E18" s="160" t="str">
        <f ca="1">IF(ISERROR($V18),"",OFFSET('Smelter Look-up'!$D$4,$V18-4,0)&amp;"")</f>
        <v>RUSSIAN FEDERATION</v>
      </c>
      <c r="F18" s="160" t="str">
        <f ca="1">IF(ISERROR($V18),"",OFFSET('Smelter Look-up'!$E$4,$V18-4,0))</f>
        <v>CID003233</v>
      </c>
      <c r="G18" s="160" t="str">
        <f ca="1">IF(C18=$X$4,"Enter smelter details",IF(ISERROR($V18),"",OFFSET('Smelter Look-up'!$F$4,$V18-4,0)))</f>
        <v>RMI</v>
      </c>
      <c r="H18" s="225">
        <f ca="1">IF(ISERROR($V18),"",OFFSET('Smelter Look-up'!$G$4,$V18-4,0))</f>
        <v>0</v>
      </c>
      <c r="I18" s="226" t="str">
        <f ca="1">IF(ISERROR($V18),"",OFFSET('Smelter Look-up'!$H$4,$V18-4,0))</f>
        <v>Monchegorsk</v>
      </c>
      <c r="J18" s="226" t="str">
        <f ca="1">IF(ISERROR($V18),"",OFFSET('Smelter Look-up'!$I$4,$V18-4,0))</f>
        <v>Murmanskaya oblast'</v>
      </c>
      <c r="K18" s="161"/>
      <c r="L18" s="161"/>
      <c r="M18" s="161"/>
      <c r="N18" s="161"/>
      <c r="O18" s="161"/>
      <c r="P18" s="228"/>
      <c r="Q18" s="162"/>
      <c r="R18" s="160" t="str">
        <f ca="1">IF(ISERROR($V18),"",OFFSET('Smelter Look-up'!$C$4,$V18-4,0)&amp;"")</f>
        <v>JSC Kolskaya Mining and Metallurgical Company (Kola MMC)</v>
      </c>
      <c r="S18" s="166" t="str">
        <f t="shared" ca="1" si="0"/>
        <v>RU</v>
      </c>
      <c r="T18" s="166" t="str">
        <f ca="1">IF(B18="","",IF(ISERROR(MATCH($J18,SorP!$B$1:$B$6205,0)),"",INDIRECT("'SorP'!$A$"&amp;MATCH($J18,SorP!$B$1:$B$6205,0))))</f>
        <v>RU-MUR</v>
      </c>
      <c r="U18" s="180"/>
      <c r="V18" s="181">
        <f ca="1">IF(C18="",NA(),MATCH($B18&amp;$C18,'Smelter Look-up'!$J:$J,0))</f>
        <v>44</v>
      </c>
      <c r="X18" s="182">
        <f t="shared" ca="1" si="1"/>
        <v>0</v>
      </c>
      <c r="AB18" s="182" t="str">
        <f t="shared" ca="1" si="2"/>
        <v>CobaltJSC Kolskaya Mining and Metallurgical Company (Kola MMC)</v>
      </c>
    </row>
    <row r="19" spans="1:28" s="182" customFormat="1" ht="20.25">
      <c r="A19" s="215" t="s">
        <v>275</v>
      </c>
      <c r="B19" s="160" t="str">
        <f ca="1">IF(LEN(A19)=0,"",INDEX('Smelter Look-up'!$A:$A,MATCH($A19,'Smelter Look-up'!$E:$E,0)))</f>
        <v>Cobalt</v>
      </c>
      <c r="C19" s="163" t="str">
        <f ca="1">IF(LEN(A19)=0,"",INDEX('Smelter Look-up'!$C:$C,MATCH($A19,'Smelter Look-up'!$E:$E,0)))</f>
        <v>Port Colborne Refinery</v>
      </c>
      <c r="D19" s="160"/>
      <c r="E19" s="160" t="str">
        <f ca="1">IF(ISERROR($V19),"",OFFSET('Smelter Look-up'!$D$4,$V19-4,0)&amp;"")</f>
        <v>CANADA</v>
      </c>
      <c r="F19" s="160" t="str">
        <f ca="1">IF(ISERROR($V19),"",OFFSET('Smelter Look-up'!$E$4,$V19-4,0))</f>
        <v>CID003239</v>
      </c>
      <c r="G19" s="160" t="str">
        <f ca="1">IF(C19=$X$4,"Enter smelter details",IF(ISERROR($V19),"",OFFSET('Smelter Look-up'!$F$4,$V19-4,0)))</f>
        <v>RMI</v>
      </c>
      <c r="H19" s="225">
        <f ca="1">IF(ISERROR($V19),"",OFFSET('Smelter Look-up'!$G$4,$V19-4,0))</f>
        <v>0</v>
      </c>
      <c r="I19" s="226" t="str">
        <f ca="1">IF(ISERROR($V19),"",OFFSET('Smelter Look-up'!$H$4,$V19-4,0))</f>
        <v>Port Colborne</v>
      </c>
      <c r="J19" s="226" t="str">
        <f ca="1">IF(ISERROR($V19),"",OFFSET('Smelter Look-up'!$I$4,$V19-4,0))</f>
        <v>Ontario</v>
      </c>
      <c r="K19" s="161"/>
      <c r="L19" s="161"/>
      <c r="M19" s="161"/>
      <c r="N19" s="161"/>
      <c r="O19" s="161"/>
      <c r="P19" s="228"/>
      <c r="Q19" s="162"/>
      <c r="R19" s="160" t="str">
        <f ca="1">IF(ISERROR($V19),"",OFFSET('Smelter Look-up'!$C$4,$V19-4,0)&amp;"")</f>
        <v>Port Colborne Refinery</v>
      </c>
      <c r="S19" s="166" t="str">
        <f t="shared" ca="1" si="0"/>
        <v>CA</v>
      </c>
      <c r="T19" s="166" t="str">
        <f ca="1">IF(B19="","",IF(ISERROR(MATCH($J19,SorP!$B$1:$B$6205,0)),"",INDIRECT("'SorP'!$A$"&amp;MATCH($J19,SorP!$B$1:$B$6205,0))))</f>
        <v>CA-ON</v>
      </c>
      <c r="U19" s="180"/>
      <c r="V19" s="181">
        <f ca="1">IF(C19="",NA(),MATCH($B19&amp;$C19,'Smelter Look-up'!$J:$J,0))</f>
        <v>75</v>
      </c>
      <c r="X19" s="182">
        <f t="shared" ca="1" si="1"/>
        <v>0</v>
      </c>
      <c r="AB19" s="182" t="str">
        <f t="shared" ca="1" si="2"/>
        <v>CobaltPort Colborne Refinery</v>
      </c>
    </row>
    <row r="20" spans="1:28" s="182" customFormat="1" ht="20.25">
      <c r="A20" s="216" t="s">
        <v>107</v>
      </c>
      <c r="B20" s="160" t="str">
        <f ca="1">IF(LEN(A20)=0,"",INDEX('Smelter Look-up'!$A:$A,MATCH($A20,'Smelter Look-up'!$E:$E,0)))</f>
        <v>Cobalt</v>
      </c>
      <c r="C20" s="163" t="str">
        <f ca="1">IF(LEN(A20)=0,"",INDEX('Smelter Look-up'!$C:$C,MATCH($A20,'Smelter Look-up'!$E:$E,0)))</f>
        <v>Fort Saskatchewan Metals Facility</v>
      </c>
      <c r="D20" s="160"/>
      <c r="E20" s="160" t="str">
        <f ca="1">IF(ISERROR($V20),"",OFFSET('Smelter Look-up'!$D$4,$V20-4,0)&amp;"")</f>
        <v>CANADA</v>
      </c>
      <c r="F20" s="160" t="str">
        <f ca="1">IF(ISERROR($V20),"",OFFSET('Smelter Look-up'!$E$4,$V20-4,0))</f>
        <v>CID003242</v>
      </c>
      <c r="G20" s="160" t="str">
        <f ca="1">IF(C20=$X$4,"Enter smelter details",IF(ISERROR($V20),"",OFFSET('Smelter Look-up'!$F$4,$V20-4,0)))</f>
        <v>RMI</v>
      </c>
      <c r="H20" s="225">
        <f ca="1">IF(ISERROR($V20),"",OFFSET('Smelter Look-up'!$G$4,$V20-4,0))</f>
        <v>0</v>
      </c>
      <c r="I20" s="226" t="str">
        <f ca="1">IF(ISERROR($V20),"",OFFSET('Smelter Look-up'!$H$4,$V20-4,0))</f>
        <v>Toronto</v>
      </c>
      <c r="J20" s="226" t="str">
        <f ca="1">IF(ISERROR($V20),"",OFFSET('Smelter Look-up'!$I$4,$V20-4,0))</f>
        <v>Ontario</v>
      </c>
      <c r="K20" s="161"/>
      <c r="L20" s="161"/>
      <c r="M20" s="161"/>
      <c r="N20" s="161"/>
      <c r="O20" s="161"/>
      <c r="P20" s="228"/>
      <c r="Q20" s="162"/>
      <c r="R20" s="160" t="str">
        <f ca="1">IF(ISERROR($V20),"",OFFSET('Smelter Look-up'!$C$4,$V20-4,0)&amp;"")</f>
        <v>Fort Saskatchewan Metals Facility</v>
      </c>
      <c r="S20" s="166" t="str">
        <f t="shared" ca="1" si="0"/>
        <v>CA</v>
      </c>
      <c r="T20" s="166" t="str">
        <f ca="1">IF(B20="","",IF(ISERROR(MATCH($J20,SorP!$B$1:$B$6205,0)),"",INDIRECT("'SorP'!$A$"&amp;MATCH($J20,SorP!$B$1:$B$6205,0))))</f>
        <v>CA-ON</v>
      </c>
      <c r="U20" s="180"/>
      <c r="V20" s="181">
        <f ca="1">IF(C20="",NA(),MATCH($B20&amp;$C20,'Smelter Look-up'!$J:$J,0))</f>
        <v>16</v>
      </c>
      <c r="X20" s="182">
        <f t="shared" ca="1" si="1"/>
        <v>0</v>
      </c>
      <c r="AB20" s="182" t="str">
        <f t="shared" ca="1" si="2"/>
        <v>CobaltFort Saskatchewan Metals Facility</v>
      </c>
    </row>
    <row r="21" spans="1:28" s="182" customFormat="1" ht="20.25">
      <c r="A21" s="215" t="s">
        <v>251</v>
      </c>
      <c r="B21" s="160" t="str">
        <f ca="1">IF(LEN(A21)=0,"",INDEX('Smelter Look-up'!$A:$A,MATCH($A21,'Smelter Look-up'!$E:$E,0)))</f>
        <v>Cobalt</v>
      </c>
      <c r="C21" s="163" t="str">
        <f ca="1">IF(LEN(A21)=0,"",INDEX('Smelter Look-up'!$C:$C,MATCH($A21,'Smelter Look-up'!$E:$E,0)))</f>
        <v>Nanjing Hanrui Cobalt</v>
      </c>
      <c r="D21" s="160"/>
      <c r="E21" s="160" t="str">
        <f ca="1">IF(ISERROR($V21),"",OFFSET('Smelter Look-up'!$D$4,$V21-4,0)&amp;"")</f>
        <v>CHINA</v>
      </c>
      <c r="F21" s="160" t="str">
        <f ca="1">IF(ISERROR($V21),"",OFFSET('Smelter Look-up'!$E$4,$V21-4,0))</f>
        <v>CID003252</v>
      </c>
      <c r="G21" s="160" t="str">
        <f ca="1">IF(C21=$X$4,"Enter smelter details",IF(ISERROR($V21),"",OFFSET('Smelter Look-up'!$F$4,$V21-4,0)))</f>
        <v>RMI</v>
      </c>
      <c r="H21" s="225">
        <f ca="1">IF(ISERROR($V21),"",OFFSET('Smelter Look-up'!$G$4,$V21-4,0))</f>
        <v>0</v>
      </c>
      <c r="I21" s="226" t="str">
        <f ca="1">IF(ISERROR($V21),"",OFFSET('Smelter Look-up'!$H$4,$V21-4,0))</f>
        <v>Nanjing</v>
      </c>
      <c r="J21" s="226" t="str">
        <f ca="1">IF(ISERROR($V21),"",OFFSET('Smelter Look-up'!$I$4,$V21-4,0))</f>
        <v>Jiangsu Sheng</v>
      </c>
      <c r="K21" s="161"/>
      <c r="L21" s="161"/>
      <c r="M21" s="161"/>
      <c r="N21" s="161"/>
      <c r="O21" s="161"/>
      <c r="P21" s="228"/>
      <c r="Q21" s="162"/>
      <c r="R21" s="160" t="str">
        <f ca="1">IF(ISERROR($V21),"",OFFSET('Smelter Look-up'!$C$4,$V21-4,0)&amp;"")</f>
        <v>Nanjing Hanrui Cobalt</v>
      </c>
      <c r="S21" s="166" t="str">
        <f t="shared" ca="1" si="0"/>
        <v>CN</v>
      </c>
      <c r="T21" s="166" t="str">
        <f ca="1">IF(B21="","",IF(ISERROR(MATCH($J21,SorP!$B$1:$B$6205,0)),"",INDIRECT("'SorP'!$A$"&amp;MATCH($J21,SorP!$B$1:$B$6205,0))))</f>
        <v>CN-JS</v>
      </c>
      <c r="U21" s="180"/>
      <c r="V21" s="181">
        <f ca="1">IF(C21="",NA(),MATCH($B21&amp;$C21,'Smelter Look-up'!$J:$J,0))</f>
        <v>66</v>
      </c>
      <c r="X21" s="182">
        <f t="shared" ca="1" si="1"/>
        <v>0</v>
      </c>
      <c r="AB21" s="182" t="str">
        <f t="shared" ca="1" si="2"/>
        <v>CobaltNanjing Hanrui Cobalt</v>
      </c>
    </row>
    <row r="22" spans="1:28" s="182" customFormat="1" ht="25.5">
      <c r="A22" s="215" t="s">
        <v>283</v>
      </c>
      <c r="B22" s="160" t="str">
        <f ca="1">IF(LEN(A22)=0,"",INDEX('Smelter Look-up'!$A:$A,MATCH($A22,'Smelter Look-up'!$E:$E,0)))</f>
        <v>Cobalt</v>
      </c>
      <c r="C22" s="163" t="str">
        <f ca="1">IF(LEN(A22)=0,"",INDEX('Smelter Look-up'!$C:$C,MATCH($A22,'Smelter Look-up'!$E:$E,0)))</f>
        <v>Quzhou Huayou Cobalt New Material Co., Ltd.</v>
      </c>
      <c r="D22" s="160"/>
      <c r="E22" s="160" t="str">
        <f ca="1">IF(ISERROR($V22),"",OFFSET('Smelter Look-up'!$D$4,$V22-4,0)&amp;"")</f>
        <v>CHINA</v>
      </c>
      <c r="F22" s="160" t="str">
        <f ca="1">IF(ISERROR($V22),"",OFFSET('Smelter Look-up'!$E$4,$V22-4,0))</f>
        <v>CID003255</v>
      </c>
      <c r="G22" s="160" t="str">
        <f ca="1">IF(C22=$X$4,"Enter smelter details",IF(ISERROR($V22),"",OFFSET('Smelter Look-up'!$F$4,$V22-4,0)))</f>
        <v>RMI</v>
      </c>
      <c r="H22" s="225">
        <f ca="1">IF(ISERROR($V22),"",OFFSET('Smelter Look-up'!$G$4,$V22-4,0))</f>
        <v>0</v>
      </c>
      <c r="I22" s="226" t="str">
        <f ca="1">IF(ISERROR($V22),"",OFFSET('Smelter Look-up'!$H$4,$V22-4,0))</f>
        <v>Quzhou</v>
      </c>
      <c r="J22" s="226" t="str">
        <f ca="1">IF(ISERROR($V22),"",OFFSET('Smelter Look-up'!$I$4,$V22-4,0))</f>
        <v>Zhejiang Sheng</v>
      </c>
      <c r="K22" s="161"/>
      <c r="L22" s="161"/>
      <c r="M22" s="161"/>
      <c r="N22" s="161"/>
      <c r="O22" s="161"/>
      <c r="P22" s="228"/>
      <c r="Q22" s="162"/>
      <c r="R22" s="160" t="str">
        <f ca="1">IF(ISERROR($V22),"",OFFSET('Smelter Look-up'!$C$4,$V22-4,0)&amp;"")</f>
        <v>Quzhou Huayou Cobalt New Material Co., Ltd.</v>
      </c>
      <c r="S22" s="166" t="str">
        <f t="shared" ca="1" si="0"/>
        <v>CN</v>
      </c>
      <c r="T22" s="166" t="str">
        <f ca="1">IF(B22="","",IF(ISERROR(MATCH($J22,SorP!$B$1:$B$6205,0)),"",INDIRECT("'SorP'!$A$"&amp;MATCH($J22,SorP!$B$1:$B$6205,0))))</f>
        <v>CN-ZJ</v>
      </c>
      <c r="U22" s="180"/>
      <c r="V22" s="181">
        <f ca="1">IF(C22="",NA(),MATCH($B22&amp;$C22,'Smelter Look-up'!$J:$J,0))</f>
        <v>77</v>
      </c>
      <c r="X22" s="182">
        <f t="shared" ca="1" si="1"/>
        <v>0</v>
      </c>
      <c r="AB22" s="182" t="str">
        <f t="shared" ca="1" si="2"/>
        <v>CobaltQuzhou Huayou Cobalt New Material Co., Ltd.</v>
      </c>
    </row>
    <row r="23" spans="1:28" s="182" customFormat="1" ht="25.5">
      <c r="A23" s="215" t="s">
        <v>195</v>
      </c>
      <c r="B23" s="160" t="str">
        <f ca="1">IF(LEN(A23)=0,"",INDEX('Smelter Look-up'!$A:$A,MATCH($A23,'Smelter Look-up'!$E:$E,0)))</f>
        <v>Cobalt</v>
      </c>
      <c r="C23" s="163" t="str">
        <f ca="1">IF(LEN(A23)=0,"",INDEX('Smelter Look-up'!$C:$C,MATCH($A23,'Smelter Look-up'!$E:$E,0)))</f>
        <v>Kamoto Copper Company</v>
      </c>
      <c r="D23" s="160"/>
      <c r="E23" s="160" t="str">
        <f ca="1">IF(ISERROR($V23),"",OFFSET('Smelter Look-up'!$D$4,$V23-4,0)&amp;"")</f>
        <v>CONGO, DEMOCRATIC REPUBLIC OF THE</v>
      </c>
      <c r="F23" s="160" t="str">
        <f ca="1">IF(ISERROR($V23),"",OFFSET('Smelter Look-up'!$E$4,$V23-4,0))</f>
        <v>CID003261</v>
      </c>
      <c r="G23" s="160" t="str">
        <f ca="1">IF(C23=$X$4,"Enter smelter details",IF(ISERROR($V23),"",OFFSET('Smelter Look-up'!$F$4,$V23-4,0)))</f>
        <v>RMI</v>
      </c>
      <c r="H23" s="225">
        <f ca="1">IF(ISERROR($V23),"",OFFSET('Smelter Look-up'!$G$4,$V23-4,0))</f>
        <v>0</v>
      </c>
      <c r="I23" s="226" t="str">
        <f ca="1">IF(ISERROR($V23),"",OFFSET('Smelter Look-up'!$H$4,$V23-4,0))</f>
        <v>Kolwezi</v>
      </c>
      <c r="J23" s="226" t="str">
        <f ca="1">IF(ISERROR($V23),"",OFFSET('Smelter Look-up'!$I$4,$V23-4,0))</f>
        <v>Lualaba</v>
      </c>
      <c r="K23" s="161"/>
      <c r="L23" s="161"/>
      <c r="M23" s="161"/>
      <c r="N23" s="161"/>
      <c r="O23" s="161"/>
      <c r="P23" s="228"/>
      <c r="Q23" s="162"/>
      <c r="R23" s="160" t="str">
        <f ca="1">IF(ISERROR($V23),"",OFFSET('Smelter Look-up'!$C$4,$V23-4,0)&amp;"")</f>
        <v>Kamoto Copper Company</v>
      </c>
      <c r="S23" s="166" t="str">
        <f t="shared" ca="1" si="0"/>
        <v>CD</v>
      </c>
      <c r="T23" s="166" t="str">
        <f ca="1">IF(B23="","",IF(ISERROR(MATCH($J23,SorP!$B$1:$B$6205,0)),"",INDIRECT("'SorP'!$A$"&amp;MATCH($J23,SorP!$B$1:$B$6205,0))))</f>
        <v>CD-LU</v>
      </c>
      <c r="U23" s="180"/>
      <c r="V23" s="181">
        <f ca="1">IF(C23="",NA(),MATCH($B23&amp;$C23,'Smelter Look-up'!$J:$J,0))</f>
        <v>45</v>
      </c>
      <c r="X23" s="182">
        <f t="shared" ca="1" si="1"/>
        <v>0</v>
      </c>
      <c r="AB23" s="182" t="str">
        <f t="shared" ca="1" si="2"/>
        <v>CobaltKamoto Copper Company</v>
      </c>
    </row>
    <row r="24" spans="1:28" s="182" customFormat="1" ht="25.5">
      <c r="A24" s="166" t="s">
        <v>70</v>
      </c>
      <c r="B24" s="160" t="str">
        <f ca="1">IF(LEN(A24)=0,"",INDEX('Smelter Look-up'!$A:$A,MATCH($A24,'Smelter Look-up'!$E:$E,0)))</f>
        <v>Cobalt</v>
      </c>
      <c r="C24" s="163" t="str">
        <f ca="1">IF(LEN(A24)=0,"",INDEX('Smelter Look-up'!$C:$C,MATCH($A24,'Smelter Look-up'!$E:$E,0)))</f>
        <v>Chemaf Etoile</v>
      </c>
      <c r="D24" s="160"/>
      <c r="E24" s="160" t="str">
        <f ca="1">IF(ISERROR($V24),"",OFFSET('Smelter Look-up'!$D$4,$V24-4,0)&amp;"")</f>
        <v>CONGO, DEMOCRATIC REPUBLIC OF THE</v>
      </c>
      <c r="F24" s="160" t="str">
        <f ca="1">IF(ISERROR($V24),"",OFFSET('Smelter Look-up'!$E$4,$V24-4,0))</f>
        <v>CID003264</v>
      </c>
      <c r="G24" s="160" t="str">
        <f ca="1">IF(C24=$X$4,"Enter smelter details",IF(ISERROR($V24),"",OFFSET('Smelter Look-up'!$F$4,$V24-4,0)))</f>
        <v>RMI</v>
      </c>
      <c r="H24" s="225">
        <f ca="1">IF(ISERROR($V24),"",OFFSET('Smelter Look-up'!$G$4,$V24-4,0))</f>
        <v>0</v>
      </c>
      <c r="I24" s="226" t="str">
        <f ca="1">IF(ISERROR($V24),"",OFFSET('Smelter Look-up'!$H$4,$V24-4,0))</f>
        <v>Lubumbashi</v>
      </c>
      <c r="J24" s="226" t="str">
        <f ca="1">IF(ISERROR($V24),"",OFFSET('Smelter Look-up'!$I$4,$V24-4,0))</f>
        <v>Haut-Katanga</v>
      </c>
      <c r="K24" s="161"/>
      <c r="L24" s="161"/>
      <c r="M24" s="161"/>
      <c r="N24" s="161"/>
      <c r="O24" s="161"/>
      <c r="P24" s="228"/>
      <c r="Q24" s="162"/>
      <c r="R24" s="160" t="str">
        <f ca="1">IF(ISERROR($V24),"",OFFSET('Smelter Look-up'!$C$4,$V24-4,0)&amp;"")</f>
        <v>Chemaf Etoile</v>
      </c>
      <c r="S24" s="166" t="str">
        <f t="shared" ca="1" si="0"/>
        <v>CD</v>
      </c>
      <c r="T24" s="166" t="str">
        <f ca="1">IF(B24="","",IF(ISERROR(MATCH($J24,SorP!$B$1:$B$6205,0)),"",INDIRECT("'SorP'!$A$"&amp;MATCH($J24,SorP!$B$1:$B$6205,0))))</f>
        <v>CD-HK</v>
      </c>
      <c r="U24" s="180"/>
      <c r="V24" s="181">
        <f ca="1">IF(C24="",NA(),MATCH($B24&amp;$C24,'Smelter Look-up'!$J:$J,0))</f>
        <v>5</v>
      </c>
      <c r="X24" s="182">
        <f t="shared" ca="1" si="1"/>
        <v>0</v>
      </c>
      <c r="AB24" s="182" t="str">
        <f t="shared" ca="1" si="2"/>
        <v>CobaltChemaf Etoile</v>
      </c>
    </row>
    <row r="25" spans="1:28" s="182" customFormat="1" ht="25.5">
      <c r="A25" s="166" t="s">
        <v>293</v>
      </c>
      <c r="B25" s="160" t="str">
        <f ca="1">IF(LEN(A25)=0,"",INDEX('Smelter Look-up'!$A:$A,MATCH($A25,'Smelter Look-up'!$E:$E,0)))</f>
        <v>Cobalt</v>
      </c>
      <c r="C25" s="163" t="str">
        <f ca="1">IF(LEN(A25)=0,"",INDEX('Smelter Look-up'!$C:$C,MATCH($A25,'Smelter Look-up'!$E:$E,0)))</f>
        <v>Societe pour le Traitment du Terril de Lubumbashi (STL)</v>
      </c>
      <c r="D25" s="160"/>
      <c r="E25" s="160" t="str">
        <f ca="1">IF(ISERROR($V25),"",OFFSET('Smelter Look-up'!$D$4,$V25-4,0)&amp;"")</f>
        <v>CONGO, DEMOCRATIC REPUBLIC OF THE</v>
      </c>
      <c r="F25" s="160" t="str">
        <f ca="1">IF(ISERROR($V25),"",OFFSET('Smelter Look-up'!$E$4,$V25-4,0))</f>
        <v>CID003266</v>
      </c>
      <c r="G25" s="160" t="str">
        <f ca="1">IF(C25=$X$4,"Enter smelter details",IF(ISERROR($V25),"",OFFSET('Smelter Look-up'!$F$4,$V25-4,0)))</f>
        <v>RMI</v>
      </c>
      <c r="H25" s="225">
        <f ca="1">IF(ISERROR($V25),"",OFFSET('Smelter Look-up'!$G$4,$V25-4,0))</f>
        <v>0</v>
      </c>
      <c r="I25" s="226" t="str">
        <f ca="1">IF(ISERROR($V25),"",OFFSET('Smelter Look-up'!$H$4,$V25-4,0))</f>
        <v>Lubumbashi</v>
      </c>
      <c r="J25" s="226" t="str">
        <f ca="1">IF(ISERROR($V25),"",OFFSET('Smelter Look-up'!$I$4,$V25-4,0))</f>
        <v>Haut-Katanga</v>
      </c>
      <c r="K25" s="161"/>
      <c r="L25" s="161"/>
      <c r="M25" s="161"/>
      <c r="N25" s="161"/>
      <c r="O25" s="161"/>
      <c r="P25" s="228"/>
      <c r="Q25" s="162"/>
      <c r="R25" s="160" t="str">
        <f ca="1">IF(ISERROR($V25),"",OFFSET('Smelter Look-up'!$C$4,$V25-4,0)&amp;"")</f>
        <v>Societe pour le Traitment du Terril de Lubumbashi (STL)</v>
      </c>
      <c r="S25" s="166" t="str">
        <f t="shared" ca="1" si="0"/>
        <v>CD</v>
      </c>
      <c r="T25" s="166" t="str">
        <f ca="1">IF(B25="","",IF(ISERROR(MATCH($J25,SorP!$B$1:$B$6205,0)),"",INDIRECT("'SorP'!$A$"&amp;MATCH($J25,SorP!$B$1:$B$6205,0))))</f>
        <v>CD-HK</v>
      </c>
      <c r="U25" s="180"/>
      <c r="V25" s="181">
        <f ca="1">IF(C25="",NA(),MATCH($B25&amp;$C25,'Smelter Look-up'!$J:$J,0))</f>
        <v>82</v>
      </c>
      <c r="X25" s="182">
        <f t="shared" ca="1" si="1"/>
        <v>0</v>
      </c>
      <c r="AB25" s="182" t="str">
        <f t="shared" ca="1" si="2"/>
        <v>CobaltSociete pour le Traitment du Terril de Lubumbashi (STL)</v>
      </c>
    </row>
    <row r="26" spans="1:28" s="182" customFormat="1" ht="25.5">
      <c r="A26" s="166" t="s">
        <v>201</v>
      </c>
      <c r="B26" s="160" t="str">
        <f ca="1">IF(LEN(A26)=0,"",INDEX('Smelter Look-up'!$A:$A,MATCH($A26,'Smelter Look-up'!$E:$E,0)))</f>
        <v>Cobalt</v>
      </c>
      <c r="C26" s="163" t="str">
        <f ca="1">IF(LEN(A26)=0,"",INDEX('Smelter Look-up'!$C:$C,MATCH($A26,'Smelter Look-up'!$E:$E,0)))</f>
        <v>La Compagnie de Traitement des Rejets de Kingamyambo S.A.</v>
      </c>
      <c r="D26" s="160"/>
      <c r="E26" s="160" t="str">
        <f ca="1">IF(ISERROR($V26),"",OFFSET('Smelter Look-up'!$D$4,$V26-4,0)&amp;"")</f>
        <v>CONGO, DEMOCRATIC REPUBLIC OF THE</v>
      </c>
      <c r="F26" s="160" t="str">
        <f ca="1">IF(ISERROR($V26),"",OFFSET('Smelter Look-up'!$E$4,$V26-4,0))</f>
        <v>CID003275</v>
      </c>
      <c r="G26" s="160" t="str">
        <f ca="1">IF(C26=$X$4,"Enter smelter details",IF(ISERROR($V26),"",OFFSET('Smelter Look-up'!$F$4,$V26-4,0)))</f>
        <v>RMI</v>
      </c>
      <c r="H26" s="225">
        <f ca="1">IF(ISERROR($V26),"",OFFSET('Smelter Look-up'!$G$4,$V26-4,0))</f>
        <v>0</v>
      </c>
      <c r="I26" s="226" t="str">
        <f ca="1">IF(ISERROR($V26),"",OFFSET('Smelter Look-up'!$H$4,$V26-4,0))</f>
        <v>Lubumbashi</v>
      </c>
      <c r="J26" s="226" t="str">
        <f ca="1">IF(ISERROR($V26),"",OFFSET('Smelter Look-up'!$I$4,$V26-4,0))</f>
        <v>Haut-Katanga</v>
      </c>
      <c r="K26" s="161"/>
      <c r="L26" s="161"/>
      <c r="M26" s="161"/>
      <c r="N26" s="161"/>
      <c r="O26" s="161"/>
      <c r="P26" s="228"/>
      <c r="Q26" s="162"/>
      <c r="R26" s="160" t="str">
        <f ca="1">IF(ISERROR($V26),"",OFFSET('Smelter Look-up'!$C$4,$V26-4,0)&amp;"")</f>
        <v>La Compagnie de Traitement des Rejets de Kingamyambo S.A.</v>
      </c>
      <c r="S26" s="166" t="str">
        <f t="shared" ca="1" si="0"/>
        <v>CD</v>
      </c>
      <c r="T26" s="166" t="str">
        <f ca="1">IF(B26="","",IF(ISERROR(MATCH($J26,SorP!$B$1:$B$6205,0)),"",INDIRECT("'SorP'!$A$"&amp;MATCH($J26,SorP!$B$1:$B$6205,0))))</f>
        <v>CD-HK</v>
      </c>
      <c r="U26" s="180"/>
      <c r="V26" s="181">
        <f ca="1">IF(C26="",NA(),MATCH($B26&amp;$C26,'Smelter Look-up'!$J:$J,0))</f>
        <v>48</v>
      </c>
      <c r="X26" s="182">
        <f t="shared" ca="1" si="1"/>
        <v>0</v>
      </c>
      <c r="AB26" s="182" t="str">
        <f t="shared" ca="1" si="2"/>
        <v>CobaltLa Compagnie de Traitement des Rejets de Kingamyambo S.A.</v>
      </c>
    </row>
    <row r="27" spans="1:28" s="182" customFormat="1" ht="20.25">
      <c r="A27" s="166" t="s">
        <v>262</v>
      </c>
      <c r="B27" s="160" t="str">
        <f ca="1">IF(LEN(A27)=0,"",INDEX('Smelter Look-up'!$A:$A,MATCH($A27,'Smelter Look-up'!$E:$E,0)))</f>
        <v>Cobalt</v>
      </c>
      <c r="C27" s="163" t="str">
        <f ca="1">IF(LEN(A27)=0,"",INDEX('Smelter Look-up'!$C:$C,MATCH($A27,'Smelter Look-up'!$E:$E,0)))</f>
        <v>Sumitomo Metal Mining</v>
      </c>
      <c r="D27" s="160"/>
      <c r="E27" s="160" t="str">
        <f ca="1">IF(ISERROR($V27),"",OFFSET('Smelter Look-up'!$D$4,$V27-4,0)&amp;"")</f>
        <v>JAPAN</v>
      </c>
      <c r="F27" s="160" t="str">
        <f ca="1">IF(ISERROR($V27),"",OFFSET('Smelter Look-up'!$E$4,$V27-4,0))</f>
        <v>CID003278</v>
      </c>
      <c r="G27" s="160" t="str">
        <f ca="1">IF(C27=$X$4,"Enter smelter details",IF(ISERROR($V27),"",OFFSET('Smelter Look-up'!$F$4,$V27-4,0)))</f>
        <v>RMI</v>
      </c>
      <c r="H27" s="225">
        <f ca="1">IF(ISERROR($V27),"",OFFSET('Smelter Look-up'!$G$4,$V27-4,0))</f>
        <v>0</v>
      </c>
      <c r="I27" s="226" t="str">
        <f ca="1">IF(ISERROR($V27),"",OFFSET('Smelter Look-up'!$H$4,$V27-4,0))</f>
        <v>Niihama</v>
      </c>
      <c r="J27" s="226" t="str">
        <f ca="1">IF(ISERROR($V27),"",OFFSET('Smelter Look-up'!$I$4,$V27-4,0))</f>
        <v>Ehime</v>
      </c>
      <c r="K27" s="161"/>
      <c r="L27" s="161"/>
      <c r="M27" s="161"/>
      <c r="N27" s="161"/>
      <c r="O27" s="161"/>
      <c r="P27" s="228"/>
      <c r="Q27" s="162"/>
      <c r="R27" s="160" t="str">
        <f ca="1">IF(ISERROR($V27),"",OFFSET('Smelter Look-up'!$C$4,$V27-4,0)&amp;"")</f>
        <v>Sumitomo Metal Mining</v>
      </c>
      <c r="S27" s="166" t="str">
        <f t="shared" ca="1" si="0"/>
        <v>JP</v>
      </c>
      <c r="T27" s="166" t="str">
        <f ca="1">IF(B27="","",IF(ISERROR(MATCH($J27,SorP!$B$1:$B$6205,0)),"",INDIRECT("'SorP'!$A$"&amp;MATCH($J27,SorP!$B$1:$B$6205,0))))</f>
        <v>JP-38</v>
      </c>
      <c r="U27" s="180"/>
      <c r="V27" s="181">
        <f ca="1">IF(C27="",NA(),MATCH($B27&amp;$C27,'Smelter Look-up'!$J:$J,0))</f>
        <v>83</v>
      </c>
      <c r="X27" s="182">
        <f t="shared" ca="1" si="1"/>
        <v>0</v>
      </c>
      <c r="AB27" s="182" t="str">
        <f t="shared" ca="1" si="2"/>
        <v>CobaltSumitomo Metal Mining</v>
      </c>
    </row>
    <row r="28" spans="1:28" s="182" customFormat="1" ht="20.25">
      <c r="A28" s="166" t="s">
        <v>243</v>
      </c>
      <c r="B28" s="160" t="str">
        <f ca="1">IF(LEN(A28)=0,"",INDEX('Smelter Look-up'!$A:$A,MATCH($A28,'Smelter Look-up'!$E:$E,0)))</f>
        <v>Cobalt</v>
      </c>
      <c r="C28" s="163" t="str">
        <f ca="1">IF(LEN(A28)=0,"",INDEX('Smelter Look-up'!$C:$C,MATCH($A28,'Smelter Look-up'!$E:$E,0)))</f>
        <v>Mine de Bou-Azzer</v>
      </c>
      <c r="D28" s="160"/>
      <c r="E28" s="160" t="str">
        <f ca="1">IF(ISERROR($V28),"",OFFSET('Smelter Look-up'!$D$4,$V28-4,0)&amp;"")</f>
        <v>MOROCCO</v>
      </c>
      <c r="F28" s="160" t="str">
        <f ca="1">IF(ISERROR($V28),"",OFFSET('Smelter Look-up'!$E$4,$V28-4,0))</f>
        <v>CID003279</v>
      </c>
      <c r="G28" s="160" t="str">
        <f ca="1">IF(C28=$X$4,"Enter smelter details",IF(ISERROR($V28),"",OFFSET('Smelter Look-up'!$F$4,$V28-4,0)))</f>
        <v>RMI</v>
      </c>
      <c r="H28" s="225">
        <f ca="1">IF(ISERROR($V28),"",OFFSET('Smelter Look-up'!$G$4,$V28-4,0))</f>
        <v>0</v>
      </c>
      <c r="I28" s="226" t="str">
        <f ca="1">IF(ISERROR($V28),"",OFFSET('Smelter Look-up'!$H$4,$V28-4,0))</f>
        <v>Tazenakht</v>
      </c>
      <c r="J28" s="226" t="str">
        <f ca="1">IF(ISERROR($V28),"",OFFSET('Smelter Look-up'!$I$4,$V28-4,0))</f>
        <v>Drâa-Tafilalet</v>
      </c>
      <c r="K28" s="161"/>
      <c r="L28" s="161"/>
      <c r="M28" s="161"/>
      <c r="N28" s="161"/>
      <c r="O28" s="161"/>
      <c r="P28" s="228"/>
      <c r="Q28" s="162"/>
      <c r="R28" s="160" t="str">
        <f ca="1">IF(ISERROR($V28),"",OFFSET('Smelter Look-up'!$C$4,$V28-4,0)&amp;"")</f>
        <v>Mine de Bou-Azzer</v>
      </c>
      <c r="S28" s="166" t="str">
        <f t="shared" ca="1" si="0"/>
        <v>MA</v>
      </c>
      <c r="T28" s="166" t="str">
        <f ca="1">IF(B28="","",IF(ISERROR(MATCH($J28,SorP!$B$1:$B$6205,0)),"",INDIRECT("'SorP'!$A$"&amp;MATCH($J28,SorP!$B$1:$B$6205,0))))</f>
        <v>MA-08</v>
      </c>
      <c r="U28" s="180"/>
      <c r="V28" s="181">
        <f ca="1">IF(C28="",NA(),MATCH($B28&amp;$C28,'Smelter Look-up'!$J:$J,0))</f>
        <v>62</v>
      </c>
      <c r="X28" s="182">
        <f t="shared" ca="1" si="1"/>
        <v>0</v>
      </c>
      <c r="AB28" s="182" t="str">
        <f t="shared" ca="1" si="2"/>
        <v>CobaltMine de Bou-Azzer</v>
      </c>
    </row>
    <row r="29" spans="1:28" s="182" customFormat="1" ht="20.25">
      <c r="A29" s="166" t="s">
        <v>83</v>
      </c>
      <c r="B29" s="160" t="str">
        <f ca="1">IF(LEN(A29)=0,"",INDEX('Smelter Look-up'!$A:$A,MATCH($A29,'Smelter Look-up'!$E:$E,0)))</f>
        <v>Cobalt</v>
      </c>
      <c r="C29" s="163" t="str">
        <f ca="1">IF(LEN(A29)=0,"",INDEX('Smelter Look-up'!$C:$C,MATCH($A29,'Smelter Look-up'!$E:$E,0)))</f>
        <v>Compagnie de Tifnout Tiranimine</v>
      </c>
      <c r="D29" s="160"/>
      <c r="E29" s="160" t="str">
        <f ca="1">IF(ISERROR($V29),"",OFFSET('Smelter Look-up'!$D$4,$V29-4,0)&amp;"")</f>
        <v>MOROCCO</v>
      </c>
      <c r="F29" s="160" t="str">
        <f ca="1">IF(ISERROR($V29),"",OFFSET('Smelter Look-up'!$E$4,$V29-4,0))</f>
        <v>CID003280</v>
      </c>
      <c r="G29" s="160" t="str">
        <f ca="1">IF(C29=$X$4,"Enter smelter details",IF(ISERROR($V29),"",OFFSET('Smelter Look-up'!$F$4,$V29-4,0)))</f>
        <v>RMI</v>
      </c>
      <c r="H29" s="225">
        <f ca="1">IF(ISERROR($V29),"",OFFSET('Smelter Look-up'!$G$4,$V29-4,0))</f>
        <v>0</v>
      </c>
      <c r="I29" s="226" t="str">
        <f ca="1">IF(ISERROR($V29),"",OFFSET('Smelter Look-up'!$H$4,$V29-4,0))</f>
        <v>Marrakech</v>
      </c>
      <c r="J29" s="226" t="str">
        <f ca="1">IF(ISERROR($V29),"",OFFSET('Smelter Look-up'!$I$4,$V29-4,0))</f>
        <v>Marrakech-Safi</v>
      </c>
      <c r="K29" s="161"/>
      <c r="L29" s="161"/>
      <c r="M29" s="161"/>
      <c r="N29" s="161"/>
      <c r="O29" s="161"/>
      <c r="P29" s="228"/>
      <c r="Q29" s="162"/>
      <c r="R29" s="160" t="str">
        <f ca="1">IF(ISERROR($V29),"",OFFSET('Smelter Look-up'!$C$4,$V29-4,0)&amp;"")</f>
        <v>Compagnie de Tifnout Tiranimine</v>
      </c>
      <c r="S29" s="166" t="str">
        <f t="shared" ca="1" si="0"/>
        <v>MA</v>
      </c>
      <c r="T29" s="166" t="str">
        <f ca="1">IF(B29="","",IF(ISERROR(MATCH($J29,SorP!$B$1:$B$6205,0)),"",INDIRECT("'SorP'!$A$"&amp;MATCH($J29,SorP!$B$1:$B$6205,0))))</f>
        <v>MA-07</v>
      </c>
      <c r="U29" s="180"/>
      <c r="V29" s="181">
        <f ca="1">IF(C29="",NA(),MATCH($B29&amp;$C29,'Smelter Look-up'!$J:$J,0))</f>
        <v>9</v>
      </c>
      <c r="X29" s="182">
        <f t="shared" ca="1" si="1"/>
        <v>0</v>
      </c>
      <c r="AB29" s="182" t="str">
        <f t="shared" ca="1" si="2"/>
        <v>CobaltCompagnie de Tifnout Tiranimine</v>
      </c>
    </row>
    <row r="30" spans="1:28" s="182" customFormat="1" ht="25.5">
      <c r="A30" s="166" t="s">
        <v>134</v>
      </c>
      <c r="B30" s="160" t="str">
        <f ca="1">IF(LEN(A30)=0,"",INDEX('Smelter Look-up'!$A:$A,MATCH($A30,'Smelter Look-up'!$E:$E,0)))</f>
        <v>Cobalt</v>
      </c>
      <c r="C30" s="163" t="str">
        <f ca="1">IF(LEN(A30)=0,"",INDEX('Smelter Look-up'!$C:$C,MATCH($A30,'Smelter Look-up'!$E:$E,0)))</f>
        <v>Guangdong Jiana Energy Technology Co., Ltd.</v>
      </c>
      <c r="D30" s="160"/>
      <c r="E30" s="160" t="str">
        <f ca="1">IF(ISERROR($V30),"",OFFSET('Smelter Look-up'!$D$4,$V30-4,0)&amp;"")</f>
        <v>CHINA</v>
      </c>
      <c r="F30" s="160" t="str">
        <f ca="1">IF(ISERROR($V30),"",OFFSET('Smelter Look-up'!$E$4,$V30-4,0))</f>
        <v>CID003291</v>
      </c>
      <c r="G30" s="160" t="str">
        <f ca="1">IF(C30=$X$4,"Enter smelter details",IF(ISERROR($V30),"",OFFSET('Smelter Look-up'!$F$4,$V30-4,0)))</f>
        <v>RMI</v>
      </c>
      <c r="H30" s="225">
        <f ca="1">IF(ISERROR($V30),"",OFFSET('Smelter Look-up'!$G$4,$V30-4,0))</f>
        <v>0</v>
      </c>
      <c r="I30" s="226" t="str">
        <f ca="1">IF(ISERROR($V30),"",OFFSET('Smelter Look-up'!$H$4,$V30-4,0))</f>
        <v>Guangzhou</v>
      </c>
      <c r="J30" s="226" t="str">
        <f ca="1">IF(ISERROR($V30),"",OFFSET('Smelter Look-up'!$I$4,$V30-4,0))</f>
        <v>Guangdong Sheng</v>
      </c>
      <c r="K30" s="161"/>
      <c r="L30" s="161"/>
      <c r="M30" s="161"/>
      <c r="N30" s="161"/>
      <c r="O30" s="161"/>
      <c r="P30" s="228"/>
      <c r="Q30" s="162"/>
      <c r="R30" s="160" t="str">
        <f ca="1">IF(ISERROR($V30),"",OFFSET('Smelter Look-up'!$C$4,$V30-4,0)&amp;"")</f>
        <v>Guangdong Jiana Energy Technology Co., Ltd.</v>
      </c>
      <c r="S30" s="166" t="str">
        <f t="shared" ca="1" si="0"/>
        <v>CN</v>
      </c>
      <c r="T30" s="166" t="str">
        <f ca="1">IF(B30="","",IF(ISERROR(MATCH($J30,SorP!$B$1:$B$6205,0)),"",INDIRECT("'SorP'!$A$"&amp;MATCH($J30,SorP!$B$1:$B$6205,0))))</f>
        <v>CN-GD</v>
      </c>
      <c r="U30" s="180"/>
      <c r="V30" s="181">
        <f ca="1">IF(C30="",NA(),MATCH($B30&amp;$C30,'Smelter Look-up'!$J:$J,0))</f>
        <v>23</v>
      </c>
      <c r="X30" s="182">
        <f t="shared" ca="1" si="1"/>
        <v>0</v>
      </c>
      <c r="AB30" s="182" t="str">
        <f t="shared" ca="1" si="2"/>
        <v>CobaltGuangdong Jiana Energy Technology Co., Ltd.</v>
      </c>
    </row>
    <row r="31" spans="1:28" s="182" customFormat="1" ht="20.25">
      <c r="A31" s="166" t="s">
        <v>178</v>
      </c>
      <c r="B31" s="160" t="str">
        <f ca="1">IF(LEN(A31)=0,"",INDEX('Smelter Look-up'!$A:$A,MATCH($A31,'Smelter Look-up'!$E:$E,0)))</f>
        <v>Cobalt</v>
      </c>
      <c r="C31" s="163" t="str">
        <f ca="1">IF(LEN(A31)=0,"",INDEX('Smelter Look-up'!$C:$C,MATCH($A31,'Smelter Look-up'!$E:$E,0)))</f>
        <v>Jiangsu Xiongfeng Technology Co., Ltd.</v>
      </c>
      <c r="D31" s="160"/>
      <c r="E31" s="160" t="str">
        <f ca="1">IF(ISERROR($V31),"",OFFSET('Smelter Look-up'!$D$4,$V31-4,0)&amp;"")</f>
        <v>CHINA</v>
      </c>
      <c r="F31" s="160" t="str">
        <f ca="1">IF(ISERROR($V31),"",OFFSET('Smelter Look-up'!$E$4,$V31-4,0))</f>
        <v>CID003293</v>
      </c>
      <c r="G31" s="160" t="str">
        <f ca="1">IF(C31=$X$4,"Enter smelter details",IF(ISERROR($V31),"",OFFSET('Smelter Look-up'!$F$4,$V31-4,0)))</f>
        <v>RMI</v>
      </c>
      <c r="H31" s="225">
        <f ca="1">IF(ISERROR($V31),"",OFFSET('Smelter Look-up'!$G$4,$V31-4,0))</f>
        <v>0</v>
      </c>
      <c r="I31" s="226" t="str">
        <f ca="1">IF(ISERROR($V31),"",OFFSET('Smelter Look-up'!$H$4,$V31-4,0))</f>
        <v>Haimen</v>
      </c>
      <c r="J31" s="226" t="str">
        <f ca="1">IF(ISERROR($V31),"",OFFSET('Smelter Look-up'!$I$4,$V31-4,0))</f>
        <v>Jiangsu Sheng</v>
      </c>
      <c r="K31" s="161"/>
      <c r="L31" s="161"/>
      <c r="M31" s="161"/>
      <c r="N31" s="161"/>
      <c r="O31" s="161"/>
      <c r="P31" s="228"/>
      <c r="Q31" s="162"/>
      <c r="R31" s="160" t="str">
        <f ca="1">IF(ISERROR($V31),"",OFFSET('Smelter Look-up'!$C$4,$V31-4,0)&amp;"")</f>
        <v>Jiangsu Xiongfeng Technology Co., Ltd.</v>
      </c>
      <c r="S31" s="166" t="str">
        <f t="shared" ca="1" si="0"/>
        <v>CN</v>
      </c>
      <c r="T31" s="166" t="str">
        <f ca="1">IF(B31="","",IF(ISERROR(MATCH($J31,SorP!$B$1:$B$6205,0)),"",INDIRECT("'SorP'!$A$"&amp;MATCH($J31,SorP!$B$1:$B$6205,0))))</f>
        <v>CN-JS</v>
      </c>
      <c r="U31" s="180"/>
      <c r="V31" s="181">
        <f ca="1">IF(C31="",NA(),MATCH($B31&amp;$C31,'Smelter Look-up'!$J:$J,0))</f>
        <v>40</v>
      </c>
      <c r="X31" s="182">
        <f t="shared" ca="1" si="1"/>
        <v>0</v>
      </c>
      <c r="AB31" s="182" t="str">
        <f t="shared" ca="1" si="2"/>
        <v>CobaltJiangsu Xiongfeng Technology Co., Ltd.</v>
      </c>
    </row>
    <row r="32" spans="1:28" s="182" customFormat="1" ht="20.25">
      <c r="A32" s="166" t="s">
        <v>296</v>
      </c>
      <c r="B32" s="160" t="str">
        <f ca="1">IF(LEN(A32)=0,"",INDEX('Smelter Look-up'!$A:$A,MATCH($A32,'Smelter Look-up'!$E:$E,0)))</f>
        <v>Cobalt</v>
      </c>
      <c r="C32" s="163" t="str">
        <f ca="1">IF(LEN(A32)=0,"",INDEX('Smelter Look-up'!$C:$C,MATCH($A32,'Smelter Look-up'!$E:$E,0)))</f>
        <v>SungEel HiTech Co., Ltd.</v>
      </c>
      <c r="D32" s="160"/>
      <c r="E32" s="160" t="str">
        <f ca="1">IF(ISERROR($V32),"",OFFSET('Smelter Look-up'!$D$4,$V32-4,0)&amp;"")</f>
        <v>KOREA, REPUBLIC OF</v>
      </c>
      <c r="F32" s="160" t="str">
        <f ca="1">IF(ISERROR($V32),"",OFFSET('Smelter Look-up'!$E$4,$V32-4,0))</f>
        <v>CID003338</v>
      </c>
      <c r="G32" s="160" t="str">
        <f ca="1">IF(C32=$X$4,"Enter smelter details",IF(ISERROR($V32),"",OFFSET('Smelter Look-up'!$F$4,$V32-4,0)))</f>
        <v>RMI</v>
      </c>
      <c r="H32" s="225">
        <f ca="1">IF(ISERROR($V32),"",OFFSET('Smelter Look-up'!$G$4,$V32-4,0))</f>
        <v>0</v>
      </c>
      <c r="I32" s="226" t="str">
        <f ca="1">IF(ISERROR($V32),"",OFFSET('Smelter Look-up'!$H$4,$V32-4,0))</f>
        <v>Gunsan-si</v>
      </c>
      <c r="J32" s="226" t="str">
        <f ca="1">IF(ISERROR($V32),"",OFFSET('Smelter Look-up'!$I$4,$V32-4,0))</f>
        <v>Jeollabuk-do</v>
      </c>
      <c r="K32" s="161"/>
      <c r="L32" s="161"/>
      <c r="M32" s="161"/>
      <c r="N32" s="161"/>
      <c r="O32" s="161"/>
      <c r="P32" s="228"/>
      <c r="Q32" s="162"/>
      <c r="R32" s="160" t="str">
        <f ca="1">IF(ISERROR($V32),"",OFFSET('Smelter Look-up'!$C$4,$V32-4,0)&amp;"")</f>
        <v>SungEel HiTech Co., Ltd.</v>
      </c>
      <c r="S32" s="166" t="str">
        <f t="shared" ca="1" si="0"/>
        <v>KR</v>
      </c>
      <c r="T32" s="166" t="str">
        <f ca="1">IF(B32="","",IF(ISERROR(MATCH($J32,SorP!$B$1:$B$6205,0)),"",INDIRECT("'SorP'!$A$"&amp;MATCH($J32,SorP!$B$1:$B$6205,0))))</f>
        <v>KR-45</v>
      </c>
      <c r="U32" s="180"/>
      <c r="V32" s="181">
        <f ca="1">IF(C32="",NA(),MATCH($B32&amp;$C32,'Smelter Look-up'!$J:$J,0))</f>
        <v>85</v>
      </c>
      <c r="X32" s="182">
        <f t="shared" ca="1" si="1"/>
        <v>0</v>
      </c>
      <c r="AB32" s="182" t="str">
        <f t="shared" ca="1" si="2"/>
        <v>CobaltSungEel HiTech Co., Ltd.</v>
      </c>
    </row>
    <row r="33" spans="1:28" s="182" customFormat="1" ht="20.25">
      <c r="A33" s="166" t="s">
        <v>327</v>
      </c>
      <c r="B33" s="160" t="str">
        <f ca="1">IF(LEN(A33)=0,"",INDEX('Smelter Look-up'!$A:$A,MATCH($A33,'Smelter Look-up'!$E:$E,0)))</f>
        <v>Cobalt</v>
      </c>
      <c r="C33" s="163" t="str">
        <f ca="1">IF(LEN(A33)=0,"",INDEX('Smelter Look-up'!$C:$C,MATCH($A33,'Smelter Look-up'!$E:$E,0)))</f>
        <v>XTC New Energy Materials (Xiamen) LTD.</v>
      </c>
      <c r="D33" s="160"/>
      <c r="E33" s="160" t="str">
        <f ca="1">IF(ISERROR($V33),"",OFFSET('Smelter Look-up'!$D$4,$V33-4,0)&amp;"")</f>
        <v>CHINA</v>
      </c>
      <c r="F33" s="160" t="str">
        <f ca="1">IF(ISERROR($V33),"",OFFSET('Smelter Look-up'!$E$4,$V33-4,0))</f>
        <v>CID003376</v>
      </c>
      <c r="G33" s="160" t="str">
        <f ca="1">IF(C33=$X$4,"Enter smelter details",IF(ISERROR($V33),"",OFFSET('Smelter Look-up'!$F$4,$V33-4,0)))</f>
        <v>RMI</v>
      </c>
      <c r="H33" s="225">
        <f ca="1">IF(ISERROR($V33),"",OFFSET('Smelter Look-up'!$G$4,$V33-4,0))</f>
        <v>0</v>
      </c>
      <c r="I33" s="226" t="str">
        <f ca="1">IF(ISERROR($V33),"",OFFSET('Smelter Look-up'!$H$4,$V33-4,0))</f>
        <v>Xiamen</v>
      </c>
      <c r="J33" s="226" t="str">
        <f ca="1">IF(ISERROR($V33),"",OFFSET('Smelter Look-up'!$I$4,$V33-4,0))</f>
        <v>Fujian Sheng</v>
      </c>
      <c r="K33" s="161"/>
      <c r="L33" s="161"/>
      <c r="M33" s="161"/>
      <c r="N33" s="161"/>
      <c r="O33" s="161"/>
      <c r="P33" s="228"/>
      <c r="Q33" s="162"/>
      <c r="R33" s="160" t="str">
        <f ca="1">IF(ISERROR($V33),"",OFFSET('Smelter Look-up'!$C$4,$V33-4,0)&amp;"")</f>
        <v>XTC New Energy Materials (Xiamen) LTD.</v>
      </c>
      <c r="S33" s="166" t="str">
        <f t="shared" ca="1" si="0"/>
        <v>CN</v>
      </c>
      <c r="T33" s="166" t="str">
        <f ca="1">IF(B33="","",IF(ISERROR(MATCH($J33,SorP!$B$1:$B$6205,0)),"",INDIRECT("'SorP'!$A$"&amp;MATCH($J33,SorP!$B$1:$B$6205,0))))</f>
        <v>CN-FJ</v>
      </c>
      <c r="U33" s="180"/>
      <c r="V33" s="181">
        <f ca="1">IF(C33="",NA(),MATCH($B33&amp;$C33,'Smelter Look-up'!$J:$J,0))</f>
        <v>98</v>
      </c>
      <c r="X33" s="182">
        <f t="shared" ca="1" si="1"/>
        <v>0</v>
      </c>
      <c r="AB33" s="182" t="str">
        <f t="shared" ca="1" si="2"/>
        <v>CobaltXTC New Energy Materials (Xiamen) LTD.</v>
      </c>
    </row>
    <row r="34" spans="1:28" s="182" customFormat="1" ht="20.25">
      <c r="A34" s="166" t="s">
        <v>181</v>
      </c>
      <c r="B34" s="160" t="str">
        <f ca="1">IF(LEN(A34)=0,"",INDEX('Smelter Look-up'!$A:$A,MATCH($A34,'Smelter Look-up'!$E:$E,0)))</f>
        <v>Cobalt</v>
      </c>
      <c r="C34" s="163" t="str">
        <f ca="1">IF(LEN(A34)=0,"",INDEX('Smelter Look-up'!$C:$C,MATCH($A34,'Smelter Look-up'!$E:$E,0)))</f>
        <v>Jiangxi Jiangwu Cobalt industrial Co., Ltd.</v>
      </c>
      <c r="D34" s="160"/>
      <c r="E34" s="160" t="str">
        <f ca="1">IF(ISERROR($V34),"",OFFSET('Smelter Look-up'!$D$4,$V34-4,0)&amp;"")</f>
        <v>CHINA</v>
      </c>
      <c r="F34" s="160" t="str">
        <f ca="1">IF(ISERROR($V34),"",OFFSET('Smelter Look-up'!$E$4,$V34-4,0))</f>
        <v>CID003377</v>
      </c>
      <c r="G34" s="160" t="str">
        <f ca="1">IF(C34=$X$4,"Enter smelter details",IF(ISERROR($V34),"",OFFSET('Smelter Look-up'!$F$4,$V34-4,0)))</f>
        <v>RMI</v>
      </c>
      <c r="H34" s="225">
        <f ca="1">IF(ISERROR($V34),"",OFFSET('Smelter Look-up'!$G$4,$V34-4,0))</f>
        <v>0</v>
      </c>
      <c r="I34" s="226" t="str">
        <f ca="1">IF(ISERROR($V34),"",OFFSET('Smelter Look-up'!$H$4,$V34-4,0))</f>
        <v>Ganzhou</v>
      </c>
      <c r="J34" s="226" t="str">
        <f ca="1">IF(ISERROR($V34),"",OFFSET('Smelter Look-up'!$I$4,$V34-4,0))</f>
        <v>Jiangxi Sheng</v>
      </c>
      <c r="K34" s="161"/>
      <c r="L34" s="161"/>
      <c r="M34" s="161"/>
      <c r="N34" s="161"/>
      <c r="O34" s="161"/>
      <c r="P34" s="228"/>
      <c r="Q34" s="162"/>
      <c r="R34" s="160" t="str">
        <f ca="1">IF(ISERROR($V34),"",OFFSET('Smelter Look-up'!$C$4,$V34-4,0)&amp;"")</f>
        <v>Jiangxi Jiangwu Cobalt industrial Co., Ltd.</v>
      </c>
      <c r="S34" s="166" t="str">
        <f t="shared" ca="1" si="0"/>
        <v>CN</v>
      </c>
      <c r="T34" s="166" t="str">
        <f ca="1">IF(B34="","",IF(ISERROR(MATCH($J34,SorP!$B$1:$B$6205,0)),"",INDIRECT("'SorP'!$A$"&amp;MATCH($J34,SorP!$B$1:$B$6205,0))))</f>
        <v>CN-JX</v>
      </c>
      <c r="U34" s="180"/>
      <c r="V34" s="181">
        <f ca="1">IF(C34="",NA(),MATCH($B34&amp;$C34,'Smelter Look-up'!$J:$J,0))</f>
        <v>41</v>
      </c>
      <c r="X34" s="182">
        <f t="shared" ca="1" si="1"/>
        <v>0</v>
      </c>
      <c r="AB34" s="182" t="str">
        <f t="shared" ca="1" si="2"/>
        <v>CobaltJiangxi Jiangwu Cobalt industrial Co., Ltd.</v>
      </c>
    </row>
    <row r="35" spans="1:28" s="182" customFormat="1" ht="20.25">
      <c r="A35" s="166" t="s">
        <v>186</v>
      </c>
      <c r="B35" s="160" t="str">
        <f ca="1">IF(LEN(A35)=0,"",INDEX('Smelter Look-up'!$A:$A,MATCH($A35,'Smelter Look-up'!$E:$E,0)))</f>
        <v>Cobalt</v>
      </c>
      <c r="C35" s="163" t="str">
        <f ca="1">IF(LEN(A35)=0,"",INDEX('Smelter Look-up'!$C:$C,MATCH($A35,'Smelter Look-up'!$E:$E,0)))</f>
        <v>Jingmen GEM Co., Ltd.</v>
      </c>
      <c r="D35" s="160"/>
      <c r="E35" s="160" t="str">
        <f ca="1">IF(ISERROR($V35),"",OFFSET('Smelter Look-up'!$D$4,$V35-4,0)&amp;"")</f>
        <v>CHINA</v>
      </c>
      <c r="F35" s="160" t="str">
        <f ca="1">IF(ISERROR($V35),"",OFFSET('Smelter Look-up'!$E$4,$V35-4,0))</f>
        <v>CID003378</v>
      </c>
      <c r="G35" s="160" t="str">
        <f ca="1">IF(C35=$X$4,"Enter smelter details",IF(ISERROR($V35),"",OFFSET('Smelter Look-up'!$F$4,$V35-4,0)))</f>
        <v>RMI</v>
      </c>
      <c r="H35" s="225">
        <f ca="1">IF(ISERROR($V35),"",OFFSET('Smelter Look-up'!$G$4,$V35-4,0))</f>
        <v>0</v>
      </c>
      <c r="I35" s="226" t="str">
        <f ca="1">IF(ISERROR($V35),"",OFFSET('Smelter Look-up'!$H$4,$V35-4,0))</f>
        <v>Jingmen</v>
      </c>
      <c r="J35" s="226" t="str">
        <f ca="1">IF(ISERROR($V35),"",OFFSET('Smelter Look-up'!$I$4,$V35-4,0))</f>
        <v>Hubei Sheng</v>
      </c>
      <c r="K35" s="161"/>
      <c r="L35" s="161"/>
      <c r="M35" s="161"/>
      <c r="N35" s="161"/>
      <c r="O35" s="161"/>
      <c r="P35" s="228"/>
      <c r="Q35" s="162"/>
      <c r="R35" s="160" t="str">
        <f ca="1">IF(ISERROR($V35),"",OFFSET('Smelter Look-up'!$C$4,$V35-4,0)&amp;"")</f>
        <v>Jingmen GEM Co., Ltd.</v>
      </c>
      <c r="S35" s="166" t="str">
        <f t="shared" ca="1" si="0"/>
        <v>CN</v>
      </c>
      <c r="T35" s="166" t="str">
        <f ca="1">IF(B35="","",IF(ISERROR(MATCH($J35,SorP!$B$1:$B$6205,0)),"",INDIRECT("'SorP'!$A$"&amp;MATCH($J35,SorP!$B$1:$B$6205,0))))</f>
        <v>CN-HB</v>
      </c>
      <c r="U35" s="180"/>
      <c r="V35" s="181">
        <f ca="1">IF(C35="",NA(),MATCH($B35&amp;$C35,'Smelter Look-up'!$J:$J,0))</f>
        <v>43</v>
      </c>
      <c r="X35" s="182">
        <f t="shared" ca="1" si="1"/>
        <v>0</v>
      </c>
      <c r="AB35" s="182" t="str">
        <f t="shared" ca="1" si="2"/>
        <v>CobaltJingmen GEM Co., Ltd.</v>
      </c>
    </row>
    <row r="36" spans="1:28" s="182" customFormat="1" ht="20.25">
      <c r="A36" s="166" t="s">
        <v>121</v>
      </c>
      <c r="B36" s="160" t="str">
        <f ca="1">IF(LEN(A36)=0,"",INDEX('Smelter Look-up'!$A:$A,MATCH($A36,'Smelter Look-up'!$E:$E,0)))</f>
        <v>Cobalt</v>
      </c>
      <c r="C36" s="163" t="str">
        <f ca="1">IF(LEN(A36)=0,"",INDEX('Smelter Look-up'!$C:$C,MATCH($A36,'Smelter Look-up'!$E:$E,0)))</f>
        <v>Ganzhou Highpower Technology Co., Ltd.</v>
      </c>
      <c r="D36" s="160"/>
      <c r="E36" s="160" t="str">
        <f ca="1">IF(ISERROR($V36),"",OFFSET('Smelter Look-up'!$D$4,$V36-4,0)&amp;"")</f>
        <v>CHINA</v>
      </c>
      <c r="F36" s="160" t="str">
        <f ca="1">IF(ISERROR($V36),"",OFFSET('Smelter Look-up'!$E$4,$V36-4,0))</f>
        <v>CID003384</v>
      </c>
      <c r="G36" s="160" t="str">
        <f ca="1">IF(C36=$X$4,"Enter smelter details",IF(ISERROR($V36),"",OFFSET('Smelter Look-up'!$F$4,$V36-4,0)))</f>
        <v>RMI</v>
      </c>
      <c r="H36" s="225">
        <f ca="1">IF(ISERROR($V36),"",OFFSET('Smelter Look-up'!$G$4,$V36-4,0))</f>
        <v>0</v>
      </c>
      <c r="I36" s="226" t="str">
        <f ca="1">IF(ISERROR($V36),"",OFFSET('Smelter Look-up'!$H$4,$V36-4,0))</f>
        <v>Ganzhou</v>
      </c>
      <c r="J36" s="226" t="str">
        <f ca="1">IF(ISERROR($V36),"",OFFSET('Smelter Look-up'!$I$4,$V36-4,0))</f>
        <v>Jiangxi Sheng</v>
      </c>
      <c r="K36" s="161"/>
      <c r="L36" s="161"/>
      <c r="M36" s="161"/>
      <c r="N36" s="161"/>
      <c r="O36" s="161"/>
      <c r="P36" s="228"/>
      <c r="Q36" s="162"/>
      <c r="R36" s="160" t="str">
        <f ca="1">IF(ISERROR($V36),"",OFFSET('Smelter Look-up'!$C$4,$V36-4,0)&amp;"")</f>
        <v>Ganzhou Highpower Technology Co., Ltd.</v>
      </c>
      <c r="S36" s="166" t="str">
        <f t="shared" ca="1" si="0"/>
        <v>CN</v>
      </c>
      <c r="T36" s="166" t="str">
        <f ca="1">IF(B36="","",IF(ISERROR(MATCH($J36,SorP!$B$1:$B$6205,0)),"",INDIRECT("'SorP'!$A$"&amp;MATCH($J36,SorP!$B$1:$B$6205,0))))</f>
        <v>CN-JX</v>
      </c>
      <c r="U36" s="180"/>
      <c r="V36" s="181">
        <f ca="1">IF(C36="",NA(),MATCH($B36&amp;$C36,'Smelter Look-up'!$J:$J,0))</f>
        <v>19</v>
      </c>
      <c r="X36" s="182">
        <f t="shared" ca="1" si="1"/>
        <v>0</v>
      </c>
      <c r="AB36" s="182" t="str">
        <f t="shared" ca="1" si="2"/>
        <v>CobaltGanzhou Highpower Technology Co., Ltd.</v>
      </c>
    </row>
    <row r="37" spans="1:28" s="182" customFormat="1" ht="25.5">
      <c r="A37" s="166" t="s">
        <v>232</v>
      </c>
      <c r="B37" s="160" t="str">
        <f ca="1">IF(LEN(A37)=0,"",INDEX('Smelter Look-up'!$A:$A,MATCH($A37,'Smelter Look-up'!$E:$E,0)))</f>
        <v>Cobalt</v>
      </c>
      <c r="C37" s="163" t="str">
        <f ca="1">IF(LEN(A37)=0,"",INDEX('Smelter Look-up'!$C:$C,MATCH($A37,'Smelter Look-up'!$E:$E,0)))</f>
        <v>METAL MINES SARL</v>
      </c>
      <c r="D37" s="160"/>
      <c r="E37" s="160" t="str">
        <f ca="1">IF(ISERROR($V37),"",OFFSET('Smelter Look-up'!$D$4,$V37-4,0)&amp;"")</f>
        <v>CONGO, DEMOCRATIC REPUBLIC OF THE</v>
      </c>
      <c r="F37" s="160" t="str">
        <f ca="1">IF(ISERROR($V37),"",OFFSET('Smelter Look-up'!$E$4,$V37-4,0))</f>
        <v>CID003385</v>
      </c>
      <c r="G37" s="160" t="str">
        <f ca="1">IF(C37=$X$4,"Enter smelter details",IF(ISERROR($V37),"",OFFSET('Smelter Look-up'!$F$4,$V37-4,0)))</f>
        <v>RMI</v>
      </c>
      <c r="H37" s="225">
        <f ca="1">IF(ISERROR($V37),"",OFFSET('Smelter Look-up'!$G$4,$V37-4,0))</f>
        <v>0</v>
      </c>
      <c r="I37" s="226" t="str">
        <f ca="1">IF(ISERROR($V37),"",OFFSET('Smelter Look-up'!$H$4,$V37-4,0))</f>
        <v>Likasi</v>
      </c>
      <c r="J37" s="226" t="str">
        <f ca="1">IF(ISERROR($V37),"",OFFSET('Smelter Look-up'!$I$4,$V37-4,0))</f>
        <v>Haut-Katanga</v>
      </c>
      <c r="K37" s="161"/>
      <c r="L37" s="161"/>
      <c r="M37" s="161"/>
      <c r="N37" s="161"/>
      <c r="O37" s="161"/>
      <c r="P37" s="228"/>
      <c r="Q37" s="162"/>
      <c r="R37" s="160" t="str">
        <f ca="1">IF(ISERROR($V37),"",OFFSET('Smelter Look-up'!$C$4,$V37-4,0)&amp;"")</f>
        <v>METAL MINES SARL</v>
      </c>
      <c r="S37" s="166" t="str">
        <f t="shared" ca="1" si="0"/>
        <v>CD</v>
      </c>
      <c r="T37" s="166" t="str">
        <f ca="1">IF(B37="","",IF(ISERROR(MATCH($J37,SorP!$B$1:$B$6205,0)),"",INDIRECT("'SorP'!$A$"&amp;MATCH($J37,SorP!$B$1:$B$6205,0))))</f>
        <v>CD-HK</v>
      </c>
      <c r="U37" s="180"/>
      <c r="V37" s="181">
        <f ca="1">IF(C37="",NA(),MATCH($B37&amp;$C37,'Smelter Look-up'!$J:$J,0))</f>
        <v>58</v>
      </c>
      <c r="X37" s="182">
        <f t="shared" ca="1" si="1"/>
        <v>0</v>
      </c>
      <c r="AB37" s="182" t="str">
        <f t="shared" ca="1" si="2"/>
        <v>CobaltMETAL MINES SARL</v>
      </c>
    </row>
    <row r="38" spans="1:28" s="182" customFormat="1" ht="20.25">
      <c r="A38" s="166" t="s">
        <v>271</v>
      </c>
      <c r="B38" s="160" t="str">
        <f ca="1">IF(LEN(A38)=0,"",INDEX('Smelter Look-up'!$A:$A,MATCH($A38,'Smelter Look-up'!$E:$E,0)))</f>
        <v>Cobalt</v>
      </c>
      <c r="C38" s="163" t="str">
        <f ca="1">IF(LEN(A38)=0,"",INDEX('Smelter Look-up'!$C:$C,MATCH($A38,'Smelter Look-up'!$E:$E,0)))</f>
        <v>NORILSK NICKEL HARJAVALTA OY</v>
      </c>
      <c r="D38" s="160"/>
      <c r="E38" s="160" t="str">
        <f ca="1">IF(ISERROR($V38),"",OFFSET('Smelter Look-up'!$D$4,$V38-4,0)&amp;"")</f>
        <v>FINLAND</v>
      </c>
      <c r="F38" s="160" t="str">
        <f ca="1">IF(ISERROR($V38),"",OFFSET('Smelter Look-up'!$E$4,$V38-4,0))</f>
        <v>CID003390</v>
      </c>
      <c r="G38" s="160" t="str">
        <f ca="1">IF(C38=$X$4,"Enter smelter details",IF(ISERROR($V38),"",OFFSET('Smelter Look-up'!$F$4,$V38-4,0)))</f>
        <v>RMI</v>
      </c>
      <c r="H38" s="225">
        <f ca="1">IF(ISERROR($V38),"",OFFSET('Smelter Look-up'!$G$4,$V38-4,0))</f>
        <v>0</v>
      </c>
      <c r="I38" s="226" t="str">
        <f ca="1">IF(ISERROR($V38),"",OFFSET('Smelter Look-up'!$H$4,$V38-4,0))</f>
        <v>Harvjavalta</v>
      </c>
      <c r="J38" s="226" t="str">
        <f ca="1">IF(ISERROR($V38),"",OFFSET('Smelter Look-up'!$I$4,$V38-4,0))</f>
        <v>Satakunta</v>
      </c>
      <c r="K38" s="161"/>
      <c r="L38" s="161"/>
      <c r="M38" s="161"/>
      <c r="N38" s="161"/>
      <c r="O38" s="161"/>
      <c r="P38" s="228"/>
      <c r="Q38" s="162"/>
      <c r="R38" s="160" t="str">
        <f ca="1">IF(ISERROR($V38),"",OFFSET('Smelter Look-up'!$C$4,$V38-4,0)&amp;"")</f>
        <v>NORILSK NICKEL HARJAVALTA OY</v>
      </c>
      <c r="S38" s="166" t="str">
        <f t="shared" ca="1" si="0"/>
        <v>FI</v>
      </c>
      <c r="T38" s="166" t="str">
        <f ca="1">IF(B38="","",IF(ISERROR(MATCH($J38,SorP!$B$1:$B$6205,0)),"",INDIRECT("'SorP'!$A$"&amp;MATCH($J38,SorP!$B$1:$B$6205,0))))</f>
        <v>FI-17</v>
      </c>
      <c r="U38" s="180"/>
      <c r="V38" s="181">
        <f ca="1">IF(C38="",NA(),MATCH($B38&amp;$C38,'Smelter Look-up'!$J:$J,0))</f>
        <v>74</v>
      </c>
      <c r="X38" s="182">
        <f t="shared" ca="1" si="1"/>
        <v>0</v>
      </c>
      <c r="AB38" s="182" t="str">
        <f t="shared" ca="1" si="2"/>
        <v>CobaltNORILSK NICKEL HARJAVALTA OY</v>
      </c>
    </row>
    <row r="39" spans="1:28" s="182" customFormat="1" ht="25.5">
      <c r="A39" s="166" t="s">
        <v>258</v>
      </c>
      <c r="B39" s="160" t="str">
        <f ca="1">IF(LEN(A39)=0,"",INDEX('Smelter Look-up'!$A:$A,MATCH($A39,'Smelter Look-up'!$E:$E,0)))</f>
        <v>Cobalt</v>
      </c>
      <c r="C39" s="163" t="str">
        <f ca="1">IF(LEN(A39)=0,"",INDEX('Smelter Look-up'!$C:$C,MATCH($A39,'Smelter Look-up'!$E:$E,0)))</f>
        <v>New Era Group Zhejiang Zhongneng Cycle Technology Co., Ltd.</v>
      </c>
      <c r="D39" s="160"/>
      <c r="E39" s="160" t="str">
        <f ca="1">IF(ISERROR($V39),"",OFFSET('Smelter Look-up'!$D$4,$V39-4,0)&amp;"")</f>
        <v>CHINA</v>
      </c>
      <c r="F39" s="160" t="str">
        <f ca="1">IF(ISERROR($V39),"",OFFSET('Smelter Look-up'!$E$4,$V39-4,0))</f>
        <v>CID003398</v>
      </c>
      <c r="G39" s="160" t="str">
        <f ca="1">IF(C39=$X$4,"Enter smelter details",IF(ISERROR($V39),"",OFFSET('Smelter Look-up'!$F$4,$V39-4,0)))</f>
        <v>RMI</v>
      </c>
      <c r="H39" s="225">
        <f ca="1">IF(ISERROR($V39),"",OFFSET('Smelter Look-up'!$G$4,$V39-4,0))</f>
        <v>0</v>
      </c>
      <c r="I39" s="226" t="str">
        <f ca="1">IF(ISERROR($V39),"",OFFSET('Smelter Look-up'!$H$4,$V39-4,0))</f>
        <v>Shaoxing</v>
      </c>
      <c r="J39" s="226" t="str">
        <f ca="1">IF(ISERROR($V39),"",OFFSET('Smelter Look-up'!$I$4,$V39-4,0))</f>
        <v>Zhejiang Sheng</v>
      </c>
      <c r="K39" s="161"/>
      <c r="L39" s="161"/>
      <c r="M39" s="161"/>
      <c r="N39" s="161"/>
      <c r="O39" s="161"/>
      <c r="P39" s="228"/>
      <c r="Q39" s="162"/>
      <c r="R39" s="160" t="str">
        <f ca="1">IF(ISERROR($V39),"",OFFSET('Smelter Look-up'!$C$4,$V39-4,0)&amp;"")</f>
        <v>New Era Group Zhejiang Zhongneng Cycle Technology Co., Ltd.</v>
      </c>
      <c r="S39" s="166" t="str">
        <f t="shared" ca="1" si="0"/>
        <v>CN</v>
      </c>
      <c r="T39" s="166" t="str">
        <f ca="1">IF(B39="","",IF(ISERROR(MATCH($J39,SorP!$B$1:$B$6205,0)),"",INDIRECT("'SorP'!$A$"&amp;MATCH($J39,SorP!$B$1:$B$6205,0))))</f>
        <v>CN-ZJ</v>
      </c>
      <c r="U39" s="180"/>
      <c r="V39" s="181">
        <f ca="1">IF(C39="",NA(),MATCH($B39&amp;$C39,'Smelter Look-up'!$J:$J,0))</f>
        <v>69</v>
      </c>
      <c r="X39" s="182">
        <f t="shared" ca="1" si="1"/>
        <v>0</v>
      </c>
      <c r="AB39" s="182" t="str">
        <f t="shared" ca="1" si="2"/>
        <v>CobaltNew Era Group Zhejiang Zhongneng Cycle Technology Co., Ltd.</v>
      </c>
    </row>
    <row r="40" spans="1:28" s="182" customFormat="1" ht="20.25">
      <c r="A40" s="166" t="s">
        <v>130</v>
      </c>
      <c r="B40" s="160" t="str">
        <f ca="1">IF(LEN(A40)=0,"",INDEX('Smelter Look-up'!$A:$A,MATCH($A40,'Smelter Look-up'!$E:$E,0)))</f>
        <v>Cobalt</v>
      </c>
      <c r="C40" s="163" t="str">
        <f ca="1">IF(LEN(A40)=0,"",INDEX('Smelter Look-up'!$C:$C,MATCH($A40,'Smelter Look-up'!$E:$E,0)))</f>
        <v>Glencore Nikkelverk Refinery</v>
      </c>
      <c r="D40" s="160"/>
      <c r="E40" s="160" t="str">
        <f ca="1">IF(ISERROR($V40),"",OFFSET('Smelter Look-up'!$D$4,$V40-4,0)&amp;"")</f>
        <v>NORWAY</v>
      </c>
      <c r="F40" s="160" t="str">
        <f ca="1">IF(ISERROR($V40),"",OFFSET('Smelter Look-up'!$E$4,$V40-4,0))</f>
        <v>CID003403</v>
      </c>
      <c r="G40" s="160" t="str">
        <f ca="1">IF(C40=$X$4,"Enter smelter details",IF(ISERROR($V40),"",OFFSET('Smelter Look-up'!$F$4,$V40-4,0)))</f>
        <v>RMI</v>
      </c>
      <c r="H40" s="225">
        <f ca="1">IF(ISERROR($V40),"",OFFSET('Smelter Look-up'!$G$4,$V40-4,0))</f>
        <v>0</v>
      </c>
      <c r="I40" s="226" t="str">
        <f ca="1">IF(ISERROR($V40),"",OFFSET('Smelter Look-up'!$H$4,$V40-4,0))</f>
        <v>Kristiansand</v>
      </c>
      <c r="J40" s="226" t="str">
        <f ca="1">IF(ISERROR($V40),"",OFFSET('Smelter Look-up'!$I$4,$V40-4,0))</f>
        <v>Aust-Agder</v>
      </c>
      <c r="K40" s="161"/>
      <c r="L40" s="161"/>
      <c r="M40" s="161"/>
      <c r="N40" s="161"/>
      <c r="O40" s="161"/>
      <c r="P40" s="228"/>
      <c r="Q40" s="162"/>
      <c r="R40" s="160" t="str">
        <f ca="1">IF(ISERROR($V40),"",OFFSET('Smelter Look-up'!$C$4,$V40-4,0)&amp;"")</f>
        <v>Glencore Nikkelverk Refinery</v>
      </c>
      <c r="S40" s="166" t="str">
        <f t="shared" ca="1" si="0"/>
        <v>NO</v>
      </c>
      <c r="T40" s="166" t="str">
        <f ca="1">IF(B40="","",IF(ISERROR(MATCH($J40,SorP!$B$1:$B$6205,0)),"",INDIRECT("'SorP'!$A$"&amp;MATCH($J40,SorP!$B$1:$B$6205,0))))</f>
        <v>NO-09</v>
      </c>
      <c r="U40" s="180"/>
      <c r="V40" s="181">
        <f ca="1">IF(C40="",NA(),MATCH($B40&amp;$C40,'Smelter Look-up'!$J:$J,0))</f>
        <v>22</v>
      </c>
      <c r="X40" s="182">
        <f t="shared" ca="1" si="1"/>
        <v>0</v>
      </c>
      <c r="AB40" s="182" t="str">
        <f t="shared" ca="1" si="2"/>
        <v>CobaltGlencore Nikkelverk Refinery</v>
      </c>
    </row>
    <row r="41" spans="1:28" s="182" customFormat="1" ht="20.25">
      <c r="A41" s="166" t="s">
        <v>167</v>
      </c>
      <c r="B41" s="160" t="str">
        <f ca="1">IF(LEN(A41)=0,"",INDEX('Smelter Look-up'!$A:$A,MATCH($A41,'Smelter Look-up'!$E:$E,0)))</f>
        <v>Cobalt</v>
      </c>
      <c r="C41" s="163" t="str">
        <f ca="1">IF(LEN(A41)=0,"",INDEX('Smelter Look-up'!$C:$C,MATCH($A41,'Smelter Look-up'!$E:$E,0)))</f>
        <v>Hunan Yacheng New Materials Co., Ltd.</v>
      </c>
      <c r="D41" s="160"/>
      <c r="E41" s="160" t="str">
        <f ca="1">IF(ISERROR($V41),"",OFFSET('Smelter Look-up'!$D$4,$V41-4,0)&amp;"")</f>
        <v>CHINA</v>
      </c>
      <c r="F41" s="160" t="str">
        <f ca="1">IF(ISERROR($V41),"",OFFSET('Smelter Look-up'!$E$4,$V41-4,0))</f>
        <v>CID003404</v>
      </c>
      <c r="G41" s="160" t="str">
        <f ca="1">IF(C41=$X$4,"Enter smelter details",IF(ISERROR($V41),"",OFFSET('Smelter Look-up'!$F$4,$V41-4,0)))</f>
        <v>RMI</v>
      </c>
      <c r="H41" s="225">
        <f ca="1">IF(ISERROR($V41),"",OFFSET('Smelter Look-up'!$G$4,$V41-4,0))</f>
        <v>0</v>
      </c>
      <c r="I41" s="226" t="str">
        <f ca="1">IF(ISERROR($V41),"",OFFSET('Smelter Look-up'!$H$4,$V41-4,0))</f>
        <v>Changsha</v>
      </c>
      <c r="J41" s="226" t="str">
        <f ca="1">IF(ISERROR($V41),"",OFFSET('Smelter Look-up'!$I$4,$V41-4,0))</f>
        <v>Hunan Sheng</v>
      </c>
      <c r="K41" s="161"/>
      <c r="L41" s="161"/>
      <c r="M41" s="161"/>
      <c r="N41" s="161"/>
      <c r="O41" s="161"/>
      <c r="P41" s="228"/>
      <c r="Q41" s="162"/>
      <c r="R41" s="160" t="str">
        <f ca="1">IF(ISERROR($V41),"",OFFSET('Smelter Look-up'!$C$4,$V41-4,0)&amp;"")</f>
        <v>Hunan Yacheng New Materials Co., Ltd.</v>
      </c>
      <c r="S41" s="166" t="str">
        <f t="shared" ca="1" si="0"/>
        <v>CN</v>
      </c>
      <c r="T41" s="166" t="str">
        <f ca="1">IF(B41="","",IF(ISERROR(MATCH($J41,SorP!$B$1:$B$6205,0)),"",INDIRECT("'SorP'!$A$"&amp;MATCH($J41,SorP!$B$1:$B$6205,0))))</f>
        <v>CN-HN</v>
      </c>
      <c r="U41" s="180"/>
      <c r="V41" s="181">
        <f ca="1">IF(C41="",NA(),MATCH($B41&amp;$C41,'Smelter Look-up'!$J:$J,0))</f>
        <v>34</v>
      </c>
      <c r="X41" s="182">
        <f t="shared" ca="1" si="1"/>
        <v>0</v>
      </c>
      <c r="AB41" s="182" t="str">
        <f t="shared" ca="1" si="2"/>
        <v>CobaltHunan Yacheng New Materials Co., Ltd.</v>
      </c>
    </row>
    <row r="42" spans="1:28" s="182" customFormat="1" ht="20.25">
      <c r="A42" s="166" t="s">
        <v>238</v>
      </c>
      <c r="B42" s="160" t="str">
        <f ca="1">IF(LEN(A42)=0,"",INDEX('Smelter Look-up'!$A:$A,MATCH($A42,'Smelter Look-up'!$E:$E,0)))</f>
        <v>Cobalt</v>
      </c>
      <c r="C42" s="163" t="str">
        <f ca="1">IF(LEN(A42)=0,"",INDEX('Smelter Look-up'!$C:$C,MATCH($A42,'Smelter Look-up'!$E:$E,0)))</f>
        <v>Murrin Murrin Nickel Cobalt Plant</v>
      </c>
      <c r="D42" s="160"/>
      <c r="E42" s="160" t="str">
        <f ca="1">IF(ISERROR($V42),"",OFFSET('Smelter Look-up'!$D$4,$V42-4,0)&amp;"")</f>
        <v>AUSTRALIA</v>
      </c>
      <c r="F42" s="160" t="str">
        <f ca="1">IF(ISERROR($V42),"",OFFSET('Smelter Look-up'!$E$4,$V42-4,0))</f>
        <v>CID003406</v>
      </c>
      <c r="G42" s="160" t="str">
        <f ca="1">IF(C42=$X$4,"Enter smelter details",IF(ISERROR($V42),"",OFFSET('Smelter Look-up'!$F$4,$V42-4,0)))</f>
        <v>RMI</v>
      </c>
      <c r="H42" s="225">
        <f ca="1">IF(ISERROR($V42),"",OFFSET('Smelter Look-up'!$G$4,$V42-4,0))</f>
        <v>0</v>
      </c>
      <c r="I42" s="226" t="str">
        <f ca="1">IF(ISERROR($V42),"",OFFSET('Smelter Look-up'!$H$4,$V42-4,0))</f>
        <v>Laverton</v>
      </c>
      <c r="J42" s="226" t="str">
        <f ca="1">IF(ISERROR($V42),"",OFFSET('Smelter Look-up'!$I$4,$V42-4,0))</f>
        <v>Western Australia</v>
      </c>
      <c r="K42" s="161"/>
      <c r="L42" s="161"/>
      <c r="M42" s="161"/>
      <c r="N42" s="161"/>
      <c r="O42" s="161"/>
      <c r="P42" s="228"/>
      <c r="Q42" s="162"/>
      <c r="R42" s="160" t="str">
        <f ca="1">IF(ISERROR($V42),"",OFFSET('Smelter Look-up'!$C$4,$V42-4,0)&amp;"")</f>
        <v>Murrin Murrin Nickel Cobalt Plant</v>
      </c>
      <c r="S42" s="166" t="str">
        <f t="shared" ca="1" si="0"/>
        <v>AU</v>
      </c>
      <c r="T42" s="166" t="str">
        <f ca="1">IF(B42="","",IF(ISERROR(MATCH($J42,SorP!$B$1:$B$6205,0)),"",INDIRECT("'SorP'!$A$"&amp;MATCH($J42,SorP!$B$1:$B$6205,0))))</f>
        <v>AU-WA</v>
      </c>
      <c r="U42" s="180"/>
      <c r="V42" s="181">
        <f ca="1">IF(C42="",NA(),MATCH($B42&amp;$C42,'Smelter Look-up'!$J:$J,0))</f>
        <v>65</v>
      </c>
      <c r="X42" s="182">
        <f t="shared" ca="1" si="1"/>
        <v>0</v>
      </c>
      <c r="AB42" s="182" t="str">
        <f t="shared" ca="1" si="2"/>
        <v>CobaltMurrin Murrin Nickel Cobalt Plant</v>
      </c>
    </row>
    <row r="43" spans="1:28" s="182" customFormat="1" ht="25.5">
      <c r="A43" s="166" t="s">
        <v>159</v>
      </c>
      <c r="B43" s="160" t="str">
        <f ca="1">IF(LEN(A43)=0,"",INDEX('Smelter Look-up'!$A:$A,MATCH($A43,'Smelter Look-up'!$E:$E,0)))</f>
        <v>Cobalt</v>
      </c>
      <c r="C43" s="163" t="str">
        <f ca="1">IF(LEN(A43)=0,"",INDEX('Smelter Look-up'!$C:$C,MATCH($A43,'Smelter Look-up'!$E:$E,0)))</f>
        <v>Hunan CNGR New Energy Science &amp; Technology Co., Ltd.</v>
      </c>
      <c r="D43" s="160"/>
      <c r="E43" s="160" t="str">
        <f ca="1">IF(ISERROR($V43),"",OFFSET('Smelter Look-up'!$D$4,$V43-4,0)&amp;"")</f>
        <v>CHINA</v>
      </c>
      <c r="F43" s="160" t="str">
        <f ca="1">IF(ISERROR($V43),"",OFFSET('Smelter Look-up'!$E$4,$V43-4,0))</f>
        <v>CID003411</v>
      </c>
      <c r="G43" s="160" t="str">
        <f ca="1">IF(C43=$X$4,"Enter smelter details",IF(ISERROR($V43),"",OFFSET('Smelter Look-up'!$F$4,$V43-4,0)))</f>
        <v>RMI</v>
      </c>
      <c r="H43" s="225">
        <f ca="1">IF(ISERROR($V43),"",OFFSET('Smelter Look-up'!$G$4,$V43-4,0))</f>
        <v>0</v>
      </c>
      <c r="I43" s="226" t="str">
        <f ca="1">IF(ISERROR($V43),"",OFFSET('Smelter Look-up'!$H$4,$V43-4,0))</f>
        <v>Changsha</v>
      </c>
      <c r="J43" s="226" t="str">
        <f ca="1">IF(ISERROR($V43),"",OFFSET('Smelter Look-up'!$I$4,$V43-4,0))</f>
        <v>Hunan Sheng</v>
      </c>
      <c r="K43" s="161"/>
      <c r="L43" s="161"/>
      <c r="M43" s="161"/>
      <c r="N43" s="161"/>
      <c r="O43" s="161"/>
      <c r="P43" s="228"/>
      <c r="Q43" s="162"/>
      <c r="R43" s="160" t="str">
        <f ca="1">IF(ISERROR($V43),"",OFFSET('Smelter Look-up'!$C$4,$V43-4,0)&amp;"")</f>
        <v>Hunan CNGR New Energy Science &amp; Technology Co., Ltd.</v>
      </c>
      <c r="S43" s="166" t="str">
        <f t="shared" ca="1" si="0"/>
        <v>CN</v>
      </c>
      <c r="T43" s="166" t="str">
        <f ca="1">IF(B43="","",IF(ISERROR(MATCH($J43,SorP!$B$1:$B$6205,0)),"",INDIRECT("'SorP'!$A$"&amp;MATCH($J43,SorP!$B$1:$B$6205,0))))</f>
        <v>CN-HN</v>
      </c>
      <c r="U43" s="180"/>
      <c r="V43" s="181">
        <f ca="1">IF(C43="",NA(),MATCH($B43&amp;$C43,'Smelter Look-up'!$J:$J,0))</f>
        <v>30</v>
      </c>
      <c r="X43" s="182">
        <f t="shared" ca="1" si="1"/>
        <v>0</v>
      </c>
      <c r="AB43" s="182" t="str">
        <f t="shared" ca="1" si="2"/>
        <v>CobaltHunan CNGR New Energy Science &amp; Technology Co., Ltd.</v>
      </c>
    </row>
    <row r="44" spans="1:28" s="182" customFormat="1" ht="20.25">
      <c r="A44" s="166" t="s">
        <v>93</v>
      </c>
      <c r="B44" s="160" t="str">
        <f ca="1">IF(LEN(A44)=0,"",INDEX('Smelter Look-up'!$A:$A,MATCH($A44,'Smelter Look-up'!$E:$E,0)))</f>
        <v>Cobalt</v>
      </c>
      <c r="C44" s="163" t="str">
        <f ca="1">IF(LEN(A44)=0,"",INDEX('Smelter Look-up'!$C:$C,MATCH($A44,'Smelter Look-up'!$E:$E,0)))</f>
        <v>Cosmo Chemical, Ltd.</v>
      </c>
      <c r="D44" s="160"/>
      <c r="E44" s="160" t="str">
        <f ca="1">IF(ISERROR($V44),"",OFFSET('Smelter Look-up'!$D$4,$V44-4,0)&amp;"")</f>
        <v>KOREA, REPUBLIC OF</v>
      </c>
      <c r="F44" s="160" t="str">
        <f ca="1">IF(ISERROR($V44),"",OFFSET('Smelter Look-up'!$E$4,$V44-4,0))</f>
        <v>CID003415</v>
      </c>
      <c r="G44" s="160" t="str">
        <f ca="1">IF(C44=$X$4,"Enter smelter details",IF(ISERROR($V44),"",OFFSET('Smelter Look-up'!$F$4,$V44-4,0)))</f>
        <v>RMI</v>
      </c>
      <c r="H44" s="225">
        <f ca="1">IF(ISERROR($V44),"",OFFSET('Smelter Look-up'!$G$4,$V44-4,0))</f>
        <v>0</v>
      </c>
      <c r="I44" s="226" t="str">
        <f ca="1">IF(ISERROR($V44),"",OFFSET('Smelter Look-up'!$H$4,$V44-4,0))</f>
        <v>Ulsan</v>
      </c>
      <c r="J44" s="226" t="str">
        <f ca="1">IF(ISERROR($V44),"",OFFSET('Smelter Look-up'!$I$4,$V44-4,0))</f>
        <v>Gyeongsangnam-do</v>
      </c>
      <c r="K44" s="161"/>
      <c r="L44" s="161"/>
      <c r="M44" s="161"/>
      <c r="N44" s="161"/>
      <c r="O44" s="161"/>
      <c r="P44" s="228"/>
      <c r="Q44" s="162"/>
      <c r="R44" s="160" t="str">
        <f ca="1">IF(ISERROR($V44),"",OFFSET('Smelter Look-up'!$C$4,$V44-4,0)&amp;"")</f>
        <v>Cosmo Chemical, Ltd.</v>
      </c>
      <c r="S44" s="166" t="str">
        <f t="shared" ca="1" si="0"/>
        <v>KR</v>
      </c>
      <c r="T44" s="166" t="str">
        <f ca="1">IF(B44="","",IF(ISERROR(MATCH($J44,SorP!$B$1:$B$6205,0)),"",INDIRECT("'SorP'!$A$"&amp;MATCH($J44,SorP!$B$1:$B$6205,0))))</f>
        <v>KR-48</v>
      </c>
      <c r="U44" s="180"/>
      <c r="V44" s="181">
        <f ca="1">IF(C44="",NA(),MATCH($B44&amp;$C44,'Smelter Look-up'!$J:$J,0))</f>
        <v>12</v>
      </c>
      <c r="X44" s="182">
        <f t="shared" ca="1" si="1"/>
        <v>0</v>
      </c>
      <c r="AB44" s="182" t="str">
        <f t="shared" ca="1" si="2"/>
        <v>CobaltCosmo Chemical, Ltd.</v>
      </c>
    </row>
    <row r="45" spans="1:28" s="182" customFormat="1" ht="20.25">
      <c r="A45" s="166" t="s">
        <v>269</v>
      </c>
      <c r="B45" s="160" t="str">
        <f ca="1">IF(LEN(A45)=0,"",INDEX('Smelter Look-up'!$A:$A,MATCH($A45,'Smelter Look-up'!$E:$E,0)))</f>
        <v>Cobalt</v>
      </c>
      <c r="C45" s="163" t="str">
        <f ca="1">IF(LEN(A45)=0,"",INDEX('Smelter Look-up'!$C:$C,MATCH($A45,'Smelter Look-up'!$E:$E,0)))</f>
        <v>Ningbo Yanmen Chemical Co., Ltd.</v>
      </c>
      <c r="D45" s="160"/>
      <c r="E45" s="160" t="str">
        <f ca="1">IF(ISERROR($V45),"",OFFSET('Smelter Look-up'!$D$4,$V45-4,0)&amp;"")</f>
        <v>CHINA</v>
      </c>
      <c r="F45" s="160" t="str">
        <f ca="1">IF(ISERROR($V45),"",OFFSET('Smelter Look-up'!$E$4,$V45-4,0))</f>
        <v>CID003422</v>
      </c>
      <c r="G45" s="160" t="str">
        <f ca="1">IF(C45=$X$4,"Enter smelter details",IF(ISERROR($V45),"",OFFSET('Smelter Look-up'!$F$4,$V45-4,0)))</f>
        <v>RMI</v>
      </c>
      <c r="H45" s="225">
        <f ca="1">IF(ISERROR($V45),"",OFFSET('Smelter Look-up'!$G$4,$V45-4,0))</f>
        <v>0</v>
      </c>
      <c r="I45" s="226" t="str">
        <f ca="1">IF(ISERROR($V45),"",OFFSET('Smelter Look-up'!$H$4,$V45-4,0))</f>
        <v>Ningbo</v>
      </c>
      <c r="J45" s="226" t="str">
        <f ca="1">IF(ISERROR($V45),"",OFFSET('Smelter Look-up'!$I$4,$V45-4,0))</f>
        <v>Zhejiang Sheng</v>
      </c>
      <c r="K45" s="161"/>
      <c r="L45" s="161"/>
      <c r="M45" s="161"/>
      <c r="N45" s="161"/>
      <c r="O45" s="161"/>
      <c r="P45" s="228"/>
      <c r="Q45" s="162"/>
      <c r="R45" s="160" t="str">
        <f ca="1">IF(ISERROR($V45),"",OFFSET('Smelter Look-up'!$C$4,$V45-4,0)&amp;"")</f>
        <v>Ningbo Yanmen Chemical Co., Ltd.</v>
      </c>
      <c r="S45" s="166" t="str">
        <f t="shared" ca="1" si="0"/>
        <v>CN</v>
      </c>
      <c r="T45" s="166" t="str">
        <f ca="1">IF(B45="","",IF(ISERROR(MATCH($J45,SorP!$B$1:$B$6205,0)),"",INDIRECT("'SorP'!$A$"&amp;MATCH($J45,SorP!$B$1:$B$6205,0))))</f>
        <v>CN-ZJ</v>
      </c>
      <c r="U45" s="180"/>
      <c r="V45" s="181">
        <f ca="1">IF(C45="",NA(),MATCH($B45&amp;$C45,'Smelter Look-up'!$J:$J,0))</f>
        <v>73</v>
      </c>
      <c r="X45" s="182">
        <f t="shared" ca="1" si="1"/>
        <v>0</v>
      </c>
      <c r="AB45" s="182" t="str">
        <f t="shared" ca="1" si="2"/>
        <v>CobaltNingbo Yanmen Chemical Co., Ltd.</v>
      </c>
    </row>
    <row r="46" spans="1:28" s="182" customFormat="1" ht="25.5">
      <c r="A46" s="166" t="s">
        <v>74</v>
      </c>
      <c r="B46" s="160" t="str">
        <f ca="1">IF(LEN(A46)=0,"",INDEX('Smelter Look-up'!$A:$A,MATCH($A46,'Smelter Look-up'!$E:$E,0)))</f>
        <v>Cobalt</v>
      </c>
      <c r="C46" s="163" t="str">
        <f ca="1">IF(LEN(A46)=0,"",INDEX('Smelter Look-up'!$C:$C,MATCH($A46,'Smelter Look-up'!$E:$E,0)))</f>
        <v>Chemaf Usoke</v>
      </c>
      <c r="D46" s="160"/>
      <c r="E46" s="160" t="str">
        <f ca="1">IF(ISERROR($V46),"",OFFSET('Smelter Look-up'!$D$4,$V46-4,0)&amp;"")</f>
        <v>CONGO, DEMOCRATIC REPUBLIC OF THE</v>
      </c>
      <c r="F46" s="160" t="str">
        <f ca="1">IF(ISERROR($V46),"",OFFSET('Smelter Look-up'!$E$4,$V46-4,0))</f>
        <v>CID003423</v>
      </c>
      <c r="G46" s="160" t="str">
        <f ca="1">IF(C46=$X$4,"Enter smelter details",IF(ISERROR($V46),"",OFFSET('Smelter Look-up'!$F$4,$V46-4,0)))</f>
        <v>RMI</v>
      </c>
      <c r="H46" s="225">
        <f ca="1">IF(ISERROR($V46),"",OFFSET('Smelter Look-up'!$G$4,$V46-4,0))</f>
        <v>0</v>
      </c>
      <c r="I46" s="226" t="str">
        <f ca="1">IF(ISERROR($V46),"",OFFSET('Smelter Look-up'!$H$4,$V46-4,0))</f>
        <v>Lubumbashi</v>
      </c>
      <c r="J46" s="226" t="str">
        <f ca="1">IF(ISERROR($V46),"",OFFSET('Smelter Look-up'!$I$4,$V46-4,0))</f>
        <v>Haut-Katanga</v>
      </c>
      <c r="K46" s="161"/>
      <c r="L46" s="161"/>
      <c r="M46" s="161"/>
      <c r="N46" s="161"/>
      <c r="O46" s="161"/>
      <c r="P46" s="228"/>
      <c r="Q46" s="162"/>
      <c r="R46" s="160" t="str">
        <f ca="1">IF(ISERROR($V46),"",OFFSET('Smelter Look-up'!$C$4,$V46-4,0)&amp;"")</f>
        <v>Chemaf Usoke</v>
      </c>
      <c r="S46" s="166" t="str">
        <f t="shared" ca="1" si="0"/>
        <v>CD</v>
      </c>
      <c r="T46" s="166" t="str">
        <f ca="1">IF(B46="","",IF(ISERROR(MATCH($J46,SorP!$B$1:$B$6205,0)),"",INDIRECT("'SorP'!$A$"&amp;MATCH($J46,SorP!$B$1:$B$6205,0))))</f>
        <v>CD-HK</v>
      </c>
      <c r="U46" s="180"/>
      <c r="V46" s="181">
        <f ca="1">IF(C46="",NA(),MATCH($B46&amp;$C46,'Smelter Look-up'!$J:$J,0))</f>
        <v>6</v>
      </c>
      <c r="X46" s="182">
        <f t="shared" ca="1" si="1"/>
        <v>0</v>
      </c>
      <c r="AB46" s="182" t="str">
        <f t="shared" ca="1" si="2"/>
        <v>CobaltChemaf Usoke</v>
      </c>
    </row>
    <row r="47" spans="1:28" s="182" customFormat="1" ht="25.5">
      <c r="A47" s="166" t="s">
        <v>291</v>
      </c>
      <c r="B47" s="160" t="str">
        <f ca="1">IF(LEN(A47)=0,"",INDEX('Smelter Look-up'!$A:$A,MATCH($A47,'Smelter Look-up'!$E:$E,0)))</f>
        <v>Cobalt</v>
      </c>
      <c r="C47" s="163" t="str">
        <f ca="1">IF(LEN(A47)=0,"",INDEX('Smelter Look-up'!$C:$C,MATCH($A47,'Smelter Look-up'!$E:$E,0)))</f>
        <v>SOCIETE MINIERE DU KATANGA (SOMIKA SARL)</v>
      </c>
      <c r="D47" s="160"/>
      <c r="E47" s="160" t="str">
        <f ca="1">IF(ISERROR($V47),"",OFFSET('Smelter Look-up'!$D$4,$V47-4,0)&amp;"")</f>
        <v>CONGO, DEMOCRATIC REPUBLIC OF THE</v>
      </c>
      <c r="F47" s="160" t="str">
        <f ca="1">IF(ISERROR($V47),"",OFFSET('Smelter Look-up'!$E$4,$V47-4,0))</f>
        <v>CID003426</v>
      </c>
      <c r="G47" s="160" t="str">
        <f ca="1">IF(C47=$X$4,"Enter smelter details",IF(ISERROR($V47),"",OFFSET('Smelter Look-up'!$F$4,$V47-4,0)))</f>
        <v>RMI</v>
      </c>
      <c r="H47" s="225">
        <f ca="1">IF(ISERROR($V47),"",OFFSET('Smelter Look-up'!$G$4,$V47-4,0))</f>
        <v>0</v>
      </c>
      <c r="I47" s="226" t="str">
        <f ca="1">IF(ISERROR($V47),"",OFFSET('Smelter Look-up'!$H$4,$V47-4,0))</f>
        <v>Lubumbashi</v>
      </c>
      <c r="J47" s="226" t="str">
        <f ca="1">IF(ISERROR($V47),"",OFFSET('Smelter Look-up'!$I$4,$V47-4,0))</f>
        <v>Haut-Katanga</v>
      </c>
      <c r="K47" s="161"/>
      <c r="L47" s="161"/>
      <c r="M47" s="161"/>
      <c r="N47" s="161"/>
      <c r="O47" s="161"/>
      <c r="P47" s="228"/>
      <c r="Q47" s="162"/>
      <c r="R47" s="160" t="str">
        <f ca="1">IF(ISERROR($V47),"",OFFSET('Smelter Look-up'!$C$4,$V47-4,0)&amp;"")</f>
        <v>SOCIETE MINIERE DU KATANGA (SOMIKA SARL)</v>
      </c>
      <c r="S47" s="166" t="str">
        <f t="shared" ca="1" si="0"/>
        <v>CD</v>
      </c>
      <c r="T47" s="166" t="str">
        <f ca="1">IF(B47="","",IF(ISERROR(MATCH($J47,SorP!$B$1:$B$6205,0)),"",INDIRECT("'SorP'!$A$"&amp;MATCH($J47,SorP!$B$1:$B$6205,0))))</f>
        <v>CD-HK</v>
      </c>
      <c r="U47" s="180"/>
      <c r="V47" s="181">
        <f ca="1">IF(C47="",NA(),MATCH($B47&amp;$C47,'Smelter Look-up'!$J:$J,0))</f>
        <v>81</v>
      </c>
      <c r="X47" s="182">
        <f t="shared" ca="1" si="1"/>
        <v>0</v>
      </c>
      <c r="AB47" s="182" t="str">
        <f t="shared" ca="1" si="2"/>
        <v>CobaltSOCIETE MINIERE DU KATANGA (SOMIKA SARL)</v>
      </c>
    </row>
    <row r="48" spans="1:28" s="182" customFormat="1" ht="25.5">
      <c r="A48" s="166" t="s">
        <v>301</v>
      </c>
      <c r="B48" s="160" t="str">
        <f ca="1">IF(LEN(A48)=0,"",INDEX('Smelter Look-up'!$A:$A,MATCH($A48,'Smelter Look-up'!$E:$E,0)))</f>
        <v>Cobalt</v>
      </c>
      <c r="C48" s="163" t="str">
        <f ca="1">IF(LEN(A48)=0,"",INDEX('Smelter Look-up'!$C:$C,MATCH($A48,'Smelter Look-up'!$E:$E,0)))</f>
        <v>Tenke Fungurume</v>
      </c>
      <c r="D48" s="160"/>
      <c r="E48" s="160" t="str">
        <f ca="1">IF(ISERROR($V48),"",OFFSET('Smelter Look-up'!$D$4,$V48-4,0)&amp;"")</f>
        <v>CONGO, DEMOCRATIC REPUBLIC OF THE</v>
      </c>
      <c r="F48" s="160" t="str">
        <f ca="1">IF(ISERROR($V48),"",OFFSET('Smelter Look-up'!$E$4,$V48-4,0))</f>
        <v>CID003429</v>
      </c>
      <c r="G48" s="160" t="str">
        <f ca="1">IF(C48=$X$4,"Enter smelter details",IF(ISERROR($V48),"",OFFSET('Smelter Look-up'!$F$4,$V48-4,0)))</f>
        <v>RMI</v>
      </c>
      <c r="H48" s="225">
        <f ca="1">IF(ISERROR($V48),"",OFFSET('Smelter Look-up'!$G$4,$V48-4,0))</f>
        <v>0</v>
      </c>
      <c r="I48" s="226" t="str">
        <f ca="1">IF(ISERROR($V48),"",OFFSET('Smelter Look-up'!$H$4,$V48-4,0))</f>
        <v>Kolwezi</v>
      </c>
      <c r="J48" s="226" t="str">
        <f ca="1">IF(ISERROR($V48),"",OFFSET('Smelter Look-up'!$I$4,$V48-4,0))</f>
        <v>Lualaba</v>
      </c>
      <c r="K48" s="161"/>
      <c r="L48" s="161"/>
      <c r="M48" s="161"/>
      <c r="N48" s="161"/>
      <c r="O48" s="161"/>
      <c r="P48" s="228"/>
      <c r="Q48" s="162"/>
      <c r="R48" s="160" t="str">
        <f ca="1">IF(ISERROR($V48),"",OFFSET('Smelter Look-up'!$C$4,$V48-4,0)&amp;"")</f>
        <v>Tenke Fungurume</v>
      </c>
      <c r="S48" s="166" t="str">
        <f t="shared" ca="1" si="0"/>
        <v>CD</v>
      </c>
      <c r="T48" s="166" t="str">
        <f ca="1">IF(B48="","",IF(ISERROR(MATCH($J48,SorP!$B$1:$B$6205,0)),"",INDIRECT("'SorP'!$A$"&amp;MATCH($J48,SorP!$B$1:$B$6205,0))))</f>
        <v>CD-LU</v>
      </c>
      <c r="U48" s="180"/>
      <c r="V48" s="181">
        <f ca="1">IF(C48="",NA(),MATCH($B48&amp;$C48,'Smelter Look-up'!$J:$J,0))</f>
        <v>87</v>
      </c>
      <c r="X48" s="182">
        <f t="shared" ca="1" si="1"/>
        <v>0</v>
      </c>
      <c r="AB48" s="182" t="str">
        <f t="shared" ca="1" si="2"/>
        <v>CobaltTenke Fungurume</v>
      </c>
    </row>
    <row r="49" spans="1:28" s="182" customFormat="1" ht="25.5">
      <c r="A49" s="166" t="s">
        <v>287</v>
      </c>
      <c r="B49" s="160" t="str">
        <f ca="1">IF(LEN(A49)=0,"",INDEX('Smelter Look-up'!$A:$A,MATCH($A49,'Smelter Look-up'!$E:$E,0)))</f>
        <v>Cobalt</v>
      </c>
      <c r="C49" s="163" t="str">
        <f ca="1">IF(LEN(A49)=0,"",INDEX('Smelter Look-up'!$C:$C,MATCH($A49,'Smelter Look-up'!$E:$E,0)))</f>
        <v>Ruashi Mining SAS</v>
      </c>
      <c r="D49" s="160"/>
      <c r="E49" s="160" t="str">
        <f ca="1">IF(ISERROR($V49),"",OFFSET('Smelter Look-up'!$D$4,$V49-4,0)&amp;"")</f>
        <v>CONGO, DEMOCRATIC REPUBLIC OF THE</v>
      </c>
      <c r="F49" s="160" t="str">
        <f ca="1">IF(ISERROR($V49),"",OFFSET('Smelter Look-up'!$E$4,$V49-4,0))</f>
        <v>CID003442</v>
      </c>
      <c r="G49" s="160" t="str">
        <f ca="1">IF(C49=$X$4,"Enter smelter details",IF(ISERROR($V49),"",OFFSET('Smelter Look-up'!$F$4,$V49-4,0)))</f>
        <v>RMI</v>
      </c>
      <c r="H49" s="225">
        <f ca="1">IF(ISERROR($V49),"",OFFSET('Smelter Look-up'!$G$4,$V49-4,0))</f>
        <v>0</v>
      </c>
      <c r="I49" s="226" t="str">
        <f ca="1">IF(ISERROR($V49),"",OFFSET('Smelter Look-up'!$H$4,$V49-4,0))</f>
        <v>Luano</v>
      </c>
      <c r="J49" s="226" t="str">
        <f ca="1">IF(ISERROR($V49),"",OFFSET('Smelter Look-up'!$I$4,$V49-4,0))</f>
        <v>Haut-Katanga</v>
      </c>
      <c r="K49" s="161"/>
      <c r="L49" s="161"/>
      <c r="M49" s="161"/>
      <c r="N49" s="161"/>
      <c r="O49" s="161"/>
      <c r="P49" s="228"/>
      <c r="Q49" s="162"/>
      <c r="R49" s="160" t="str">
        <f ca="1">IF(ISERROR($V49),"",OFFSET('Smelter Look-up'!$C$4,$V49-4,0)&amp;"")</f>
        <v>Ruashi Mining SAS</v>
      </c>
      <c r="S49" s="166" t="str">
        <f t="shared" ca="1" si="0"/>
        <v>CD</v>
      </c>
      <c r="T49" s="166" t="str">
        <f ca="1">IF(B49="","",IF(ISERROR(MATCH($J49,SorP!$B$1:$B$6205,0)),"",INDIRECT("'SorP'!$A$"&amp;MATCH($J49,SorP!$B$1:$B$6205,0))))</f>
        <v>CD-HK</v>
      </c>
      <c r="U49" s="180"/>
      <c r="V49" s="181">
        <f ca="1">IF(C49="",NA(),MATCH($B49&amp;$C49,'Smelter Look-up'!$J:$J,0))</f>
        <v>79</v>
      </c>
      <c r="X49" s="182">
        <f t="shared" ca="1" si="1"/>
        <v>0</v>
      </c>
      <c r="AB49" s="182" t="str">
        <f t="shared" ca="1" si="2"/>
        <v>CobaltRuashi Mining SAS</v>
      </c>
    </row>
    <row r="50" spans="1:28" s="182" customFormat="1" ht="25.5">
      <c r="A50" s="166" t="s">
        <v>183</v>
      </c>
      <c r="B50" s="160" t="str">
        <f ca="1">IF(LEN(A50)=0,"",INDEX('Smelter Look-up'!$A:$A,MATCH($A50,'Smelter Look-up'!$E:$E,0)))</f>
        <v>Cobalt</v>
      </c>
      <c r="C50" s="163" t="str">
        <f ca="1">IF(LEN(A50)=0,"",INDEX('Smelter Look-up'!$C:$C,MATCH($A50,'Smelter Look-up'!$E:$E,0)))</f>
        <v>Jiangxi Rui da Xinnengyuan Technology Co., Ltd.</v>
      </c>
      <c r="D50" s="160"/>
      <c r="E50" s="160" t="str">
        <f ca="1">IF(ISERROR($V50),"",OFFSET('Smelter Look-up'!$D$4,$V50-4,0)&amp;"")</f>
        <v>CHINA</v>
      </c>
      <c r="F50" s="160" t="str">
        <f ca="1">IF(ISERROR($V50),"",OFFSET('Smelter Look-up'!$E$4,$V50-4,0))</f>
        <v>CID003447</v>
      </c>
      <c r="G50" s="160" t="str">
        <f ca="1">IF(C50=$X$4,"Enter smelter details",IF(ISERROR($V50),"",OFFSET('Smelter Look-up'!$F$4,$V50-4,0)))</f>
        <v>RMI</v>
      </c>
      <c r="H50" s="225">
        <f ca="1">IF(ISERROR($V50),"",OFFSET('Smelter Look-up'!$G$4,$V50-4,0))</f>
        <v>0</v>
      </c>
      <c r="I50" s="226" t="str">
        <f ca="1">IF(ISERROR($V50),"",OFFSET('Smelter Look-up'!$H$4,$V50-4,0))</f>
        <v>Yichun</v>
      </c>
      <c r="J50" s="226" t="str">
        <f ca="1">IF(ISERROR($V50),"",OFFSET('Smelter Look-up'!$I$4,$V50-4,0))</f>
        <v>Jiangxi Sheng</v>
      </c>
      <c r="K50" s="161"/>
      <c r="L50" s="161"/>
      <c r="M50" s="161"/>
      <c r="N50" s="161"/>
      <c r="O50" s="161"/>
      <c r="P50" s="228"/>
      <c r="Q50" s="162"/>
      <c r="R50" s="160" t="str">
        <f ca="1">IF(ISERROR($V50),"",OFFSET('Smelter Look-up'!$C$4,$V50-4,0)&amp;"")</f>
        <v>Jiangxi Rui da Xinnengyuan Technology Co., Ltd.</v>
      </c>
      <c r="S50" s="166" t="str">
        <f t="shared" ca="1" si="0"/>
        <v>CN</v>
      </c>
      <c r="T50" s="166" t="str">
        <f ca="1">IF(B50="","",IF(ISERROR(MATCH($J50,SorP!$B$1:$B$6205,0)),"",INDIRECT("'SorP'!$A$"&amp;MATCH($J50,SorP!$B$1:$B$6205,0))))</f>
        <v>CN-JX</v>
      </c>
      <c r="U50" s="180"/>
      <c r="V50" s="181">
        <f ca="1">IF(C50="",NA(),MATCH($B50&amp;$C50,'Smelter Look-up'!$J:$J,0))</f>
        <v>42</v>
      </c>
      <c r="X50" s="182">
        <f t="shared" ca="1" si="1"/>
        <v>0</v>
      </c>
      <c r="AB50" s="182" t="str">
        <f t="shared" ca="1" si="2"/>
        <v>CobaltJiangxi Rui da Xinnengyuan Technology Co., Ltd.</v>
      </c>
    </row>
    <row r="51" spans="1:28" s="182" customFormat="1" ht="25.5">
      <c r="A51" s="166" t="s">
        <v>247</v>
      </c>
      <c r="B51" s="160" t="str">
        <f ca="1">IF(LEN(A51)=0,"",INDEX('Smelter Look-up'!$A:$A,MATCH($A51,'Smelter Look-up'!$E:$E,0)))</f>
        <v>Cobalt</v>
      </c>
      <c r="C51" s="163" t="str">
        <f ca="1">IF(LEN(A51)=0,"",INDEX('Smelter Look-up'!$C:$C,MATCH($A51,'Smelter Look-up'!$E:$E,0)))</f>
        <v>MKM - La Miniere de Kalumbwe Myunga</v>
      </c>
      <c r="D51" s="160"/>
      <c r="E51" s="160" t="str">
        <f ca="1">IF(ISERROR($V51),"",OFFSET('Smelter Look-up'!$D$4,$V51-4,0)&amp;"")</f>
        <v>CONGO, DEMOCRATIC REPUBLIC OF THE</v>
      </c>
      <c r="F51" s="160" t="str">
        <f ca="1">IF(ISERROR($V51),"",OFFSET('Smelter Look-up'!$E$4,$V51-4,0))</f>
        <v>CID003464</v>
      </c>
      <c r="G51" s="160" t="str">
        <f ca="1">IF(C51=$X$4,"Enter smelter details",IF(ISERROR($V51),"",OFFSET('Smelter Look-up'!$F$4,$V51-4,0)))</f>
        <v>RMI</v>
      </c>
      <c r="H51" s="225">
        <f ca="1">IF(ISERROR($V51),"",OFFSET('Smelter Look-up'!$G$4,$V51-4,0))</f>
        <v>0</v>
      </c>
      <c r="I51" s="226" t="str">
        <f ca="1">IF(ISERROR($V51),"",OFFSET('Smelter Look-up'!$H$4,$V51-4,0))</f>
        <v>Kisanfu</v>
      </c>
      <c r="J51" s="226" t="str">
        <f ca="1">IF(ISERROR($V51),"",OFFSET('Smelter Look-up'!$I$4,$V51-4,0))</f>
        <v>Lualaba</v>
      </c>
      <c r="K51" s="161"/>
      <c r="L51" s="161"/>
      <c r="M51" s="161"/>
      <c r="N51" s="161"/>
      <c r="O51" s="161"/>
      <c r="P51" s="228"/>
      <c r="Q51" s="162"/>
      <c r="R51" s="160" t="str">
        <f ca="1">IF(ISERROR($V51),"",OFFSET('Smelter Look-up'!$C$4,$V51-4,0)&amp;"")</f>
        <v>MKM - La Miniere de Kalumbwe Myunga</v>
      </c>
      <c r="S51" s="166" t="str">
        <f t="shared" ca="1" si="0"/>
        <v>CD</v>
      </c>
      <c r="T51" s="166" t="str">
        <f ca="1">IF(B51="","",IF(ISERROR(MATCH($J51,SorP!$B$1:$B$6205,0)),"",INDIRECT("'SorP'!$A$"&amp;MATCH($J51,SorP!$B$1:$B$6205,0))))</f>
        <v>CD-LU</v>
      </c>
      <c r="U51" s="180"/>
      <c r="V51" s="181">
        <f ca="1">IF(C51="",NA(),MATCH($B51&amp;$C51,'Smelter Look-up'!$J:$J,0))</f>
        <v>63</v>
      </c>
      <c r="X51" s="182">
        <f t="shared" ca="1" si="1"/>
        <v>0</v>
      </c>
      <c r="AB51" s="182" t="str">
        <f t="shared" ca="1" si="2"/>
        <v>CobaltMKM - La Miniere de Kalumbwe Myunga</v>
      </c>
    </row>
    <row r="52" spans="1:28" s="182" customFormat="1" ht="20.25">
      <c r="A52" s="166" t="s">
        <v>266</v>
      </c>
      <c r="B52" s="160" t="str">
        <f ca="1">IF(LEN(A52)=0,"",INDEX('Smelter Look-up'!$A:$A,MATCH($A52,'Smelter Look-up'!$E:$E,0)))</f>
        <v>Cobalt</v>
      </c>
      <c r="C52" s="163" t="str">
        <f ca="1">IF(LEN(A52)=0,"",INDEX('Smelter Look-up'!$C:$C,MATCH($A52,'Smelter Look-up'!$E:$E,0)))</f>
        <v>Ningbo Hubang New Material Co., Ltd.</v>
      </c>
      <c r="D52" s="160"/>
      <c r="E52" s="160" t="str">
        <f ca="1">IF(ISERROR($V52),"",OFFSET('Smelter Look-up'!$D$4,$V52-4,0)&amp;"")</f>
        <v>CHINA</v>
      </c>
      <c r="F52" s="160" t="str">
        <f ca="1">IF(ISERROR($V52),"",OFFSET('Smelter Look-up'!$E$4,$V52-4,0))</f>
        <v>CID003465</v>
      </c>
      <c r="G52" s="160" t="str">
        <f ca="1">IF(C52=$X$4,"Enter smelter details",IF(ISERROR($V52),"",OFFSET('Smelter Look-up'!$F$4,$V52-4,0)))</f>
        <v>RMI</v>
      </c>
      <c r="H52" s="225">
        <f ca="1">IF(ISERROR($V52),"",OFFSET('Smelter Look-up'!$G$4,$V52-4,0))</f>
        <v>0</v>
      </c>
      <c r="I52" s="226" t="str">
        <f ca="1">IF(ISERROR($V52),"",OFFSET('Smelter Look-up'!$H$4,$V52-4,0))</f>
        <v>Ningbo</v>
      </c>
      <c r="J52" s="226" t="str">
        <f ca="1">IF(ISERROR($V52),"",OFFSET('Smelter Look-up'!$I$4,$V52-4,0))</f>
        <v>Zhejiang Sheng</v>
      </c>
      <c r="K52" s="161"/>
      <c r="L52" s="161"/>
      <c r="M52" s="161"/>
      <c r="N52" s="161"/>
      <c r="O52" s="161"/>
      <c r="P52" s="228"/>
      <c r="Q52" s="162"/>
      <c r="R52" s="160" t="str">
        <f ca="1">IF(ISERROR($V52),"",OFFSET('Smelter Look-up'!$C$4,$V52-4,0)&amp;"")</f>
        <v>Ningbo Hubang New Material Co., Ltd.</v>
      </c>
      <c r="S52" s="166" t="str">
        <f t="shared" ca="1" si="0"/>
        <v>CN</v>
      </c>
      <c r="T52" s="166" t="str">
        <f ca="1">IF(B52="","",IF(ISERROR(MATCH($J52,SorP!$B$1:$B$6205,0)),"",INDIRECT("'SorP'!$A$"&amp;MATCH($J52,SorP!$B$1:$B$6205,0))))</f>
        <v>CN-ZJ</v>
      </c>
      <c r="U52" s="180"/>
      <c r="V52" s="181">
        <f ca="1">IF(C52="",NA(),MATCH($B52&amp;$C52,'Smelter Look-up'!$J:$J,0))</f>
        <v>72</v>
      </c>
      <c r="X52" s="182">
        <f t="shared" ca="1" si="1"/>
        <v>0</v>
      </c>
      <c r="AB52" s="182" t="str">
        <f t="shared" ca="1" si="2"/>
        <v>CobaltNingbo Hubang New Material Co., Ltd.</v>
      </c>
    </row>
    <row r="53" spans="1:28" s="182" customFormat="1" ht="25.5">
      <c r="A53" s="166" t="s">
        <v>323</v>
      </c>
      <c r="B53" s="160" t="str">
        <f ca="1">IF(LEN(A53)=0,"",INDEX('Smelter Look-up'!$A:$A,MATCH($A53,'Smelter Look-up'!$E:$E,0)))</f>
        <v>Cobalt</v>
      </c>
      <c r="C53" s="163" t="str">
        <f ca="1">IF(LEN(A53)=0,"",INDEX('Smelter Look-up'!$C:$C,MATCH($A53,'Smelter Look-up'!$E:$E,0)))</f>
        <v>Xiangtan Huacheng Nickel Cobalt New Material Co., Ltd.</v>
      </c>
      <c r="D53" s="160"/>
      <c r="E53" s="160" t="str">
        <f ca="1">IF(ISERROR($V53),"",OFFSET('Smelter Look-up'!$D$4,$V53-4,0)&amp;"")</f>
        <v>CHINA</v>
      </c>
      <c r="F53" s="160" t="str">
        <f ca="1">IF(ISERROR($V53),"",OFFSET('Smelter Look-up'!$E$4,$V53-4,0))</f>
        <v>CID003466</v>
      </c>
      <c r="G53" s="160" t="str">
        <f ca="1">IF(C53=$X$4,"Enter smelter details",IF(ISERROR($V53),"",OFFSET('Smelter Look-up'!$F$4,$V53-4,0)))</f>
        <v>RMI</v>
      </c>
      <c r="H53" s="225">
        <f ca="1">IF(ISERROR($V53),"",OFFSET('Smelter Look-up'!$G$4,$V53-4,0))</f>
        <v>0</v>
      </c>
      <c r="I53" s="226" t="str">
        <f ca="1">IF(ISERROR($V53),"",OFFSET('Smelter Look-up'!$H$4,$V53-4,0))</f>
        <v>Xiangtan</v>
      </c>
      <c r="J53" s="226" t="str">
        <f ca="1">IF(ISERROR($V53),"",OFFSET('Smelter Look-up'!$I$4,$V53-4,0))</f>
        <v>Hunan Sheng</v>
      </c>
      <c r="K53" s="161"/>
      <c r="L53" s="161"/>
      <c r="M53" s="161"/>
      <c r="N53" s="161"/>
      <c r="O53" s="161"/>
      <c r="P53" s="228"/>
      <c r="Q53" s="162"/>
      <c r="R53" s="160" t="str">
        <f ca="1">IF(ISERROR($V53),"",OFFSET('Smelter Look-up'!$C$4,$V53-4,0)&amp;"")</f>
        <v>Xiangtan Huacheng Nickel Cobalt New Material Co., Ltd.</v>
      </c>
      <c r="S53" s="166" t="str">
        <f t="shared" ca="1" si="0"/>
        <v>CN</v>
      </c>
      <c r="T53" s="166" t="str">
        <f ca="1">IF(B53="","",IF(ISERROR(MATCH($J53,SorP!$B$1:$B$6205,0)),"",INDIRECT("'SorP'!$A$"&amp;MATCH($J53,SorP!$B$1:$B$6205,0))))</f>
        <v>CN-HN</v>
      </c>
      <c r="U53" s="180"/>
      <c r="V53" s="181">
        <f ca="1">IF(C53="",NA(),MATCH($B53&amp;$C53,'Smelter Look-up'!$J:$J,0))</f>
        <v>96</v>
      </c>
      <c r="X53" s="182">
        <f t="shared" ca="1" si="1"/>
        <v>0</v>
      </c>
      <c r="AB53" s="182" t="str">
        <f t="shared" ca="1" si="2"/>
        <v>CobaltXiangtan Huacheng Nickel Cobalt New Material Co., Ltd.</v>
      </c>
    </row>
    <row r="54" spans="1:28" s="182" customFormat="1" ht="25.5">
      <c r="A54" s="166" t="s">
        <v>165</v>
      </c>
      <c r="B54" s="160" t="str">
        <f ca="1">IF(LEN(A54)=0,"",INDEX('Smelter Look-up'!$A:$A,MATCH($A54,'Smelter Look-up'!$E:$E,0)))</f>
        <v>Cobalt</v>
      </c>
      <c r="C54" s="163" t="str">
        <f ca="1">IF(LEN(A54)=0,"",INDEX('Smelter Look-up'!$C:$C,MATCH($A54,'Smelter Look-up'!$E:$E,0)))</f>
        <v>Hunan Shiji Yintian New Material Co., Ltd.</v>
      </c>
      <c r="D54" s="160"/>
      <c r="E54" s="160" t="str">
        <f ca="1">IF(ISERROR($V54),"",OFFSET('Smelter Look-up'!$D$4,$V54-4,0)&amp;"")</f>
        <v>CHINA</v>
      </c>
      <c r="F54" s="160" t="str">
        <f ca="1">IF(ISERROR($V54),"",OFFSET('Smelter Look-up'!$E$4,$V54-4,0))</f>
        <v>CID003467</v>
      </c>
      <c r="G54" s="160" t="str">
        <f ca="1">IF(C54=$X$4,"Enter smelter details",IF(ISERROR($V54),"",OFFSET('Smelter Look-up'!$F$4,$V54-4,0)))</f>
        <v>RMI</v>
      </c>
      <c r="H54" s="225">
        <f ca="1">IF(ISERROR($V54),"",OFFSET('Smelter Look-up'!$G$4,$V54-4,0))</f>
        <v>0</v>
      </c>
      <c r="I54" s="226" t="str">
        <f ca="1">IF(ISERROR($V54),"",OFFSET('Smelter Look-up'!$H$4,$V54-4,0))</f>
        <v>Yiyang</v>
      </c>
      <c r="J54" s="226" t="str">
        <f ca="1">IF(ISERROR($V54),"",OFFSET('Smelter Look-up'!$I$4,$V54-4,0))</f>
        <v>Hunan Sheng</v>
      </c>
      <c r="K54" s="161"/>
      <c r="L54" s="161"/>
      <c r="M54" s="161"/>
      <c r="N54" s="161"/>
      <c r="O54" s="161"/>
      <c r="P54" s="228"/>
      <c r="Q54" s="162"/>
      <c r="R54" s="160" t="str">
        <f ca="1">IF(ISERROR($V54),"",OFFSET('Smelter Look-up'!$C$4,$V54-4,0)&amp;"")</f>
        <v>Hunan Shiji Yintian New Material Co., Ltd.</v>
      </c>
      <c r="S54" s="166" t="str">
        <f t="shared" ca="1" si="0"/>
        <v>CN</v>
      </c>
      <c r="T54" s="166" t="str">
        <f ca="1">IF(B54="","",IF(ISERROR(MATCH($J54,SorP!$B$1:$B$6205,0)),"",INDIRECT("'SorP'!$A$"&amp;MATCH($J54,SorP!$B$1:$B$6205,0))))</f>
        <v>CN-HN</v>
      </c>
      <c r="U54" s="180"/>
      <c r="V54" s="181">
        <f ca="1">IF(C54="",NA(),MATCH($B54&amp;$C54,'Smelter Look-up'!$J:$J,0))</f>
        <v>33</v>
      </c>
      <c r="X54" s="182">
        <f t="shared" ca="1" si="1"/>
        <v>0</v>
      </c>
      <c r="AB54" s="182" t="str">
        <f t="shared" ca="1" si="2"/>
        <v>CobaltHunan Shiji Yintian New Material Co., Ltd.</v>
      </c>
    </row>
    <row r="55" spans="1:28" s="182" customFormat="1" ht="20.25">
      <c r="A55" s="166" t="s">
        <v>102</v>
      </c>
      <c r="B55" s="160" t="str">
        <f ca="1">IF(LEN(A55)=0,"",INDEX('Smelter Look-up'!$A:$A,MATCH($A55,'Smelter Look-up'!$E:$E,0)))</f>
        <v>Cobalt</v>
      </c>
      <c r="C55" s="163" t="str">
        <f ca="1">IF(LEN(A55)=0,"",INDEX('Smelter Look-up'!$C:$C,MATCH($A55,'Smelter Look-up'!$E:$E,0)))</f>
        <v>Fairsky Industrial Co., Limited</v>
      </c>
      <c r="D55" s="160"/>
      <c r="E55" s="160" t="str">
        <f ca="1">IF(ISERROR($V55),"",OFFSET('Smelter Look-up'!$D$4,$V55-4,0)&amp;"")</f>
        <v>CHINA</v>
      </c>
      <c r="F55" s="160" t="str">
        <f ca="1">IF(ISERROR($V55),"",OFFSET('Smelter Look-up'!$E$4,$V55-4,0))</f>
        <v>CID003469</v>
      </c>
      <c r="G55" s="160" t="str">
        <f ca="1">IF(C55=$X$4,"Enter smelter details",IF(ISERROR($V55),"",OFFSET('Smelter Look-up'!$F$4,$V55-4,0)))</f>
        <v>RMI</v>
      </c>
      <c r="H55" s="225">
        <f ca="1">IF(ISERROR($V55),"",OFFSET('Smelter Look-up'!$G$4,$V55-4,0))</f>
        <v>0</v>
      </c>
      <c r="I55" s="226" t="str">
        <f ca="1">IF(ISERROR($V55),"",OFFSET('Smelter Look-up'!$H$4,$V55-4,0))</f>
        <v>Baoding</v>
      </c>
      <c r="J55" s="226" t="str">
        <f ca="1">IF(ISERROR($V55),"",OFFSET('Smelter Look-up'!$I$4,$V55-4,0))</f>
        <v>Hebei Sheng</v>
      </c>
      <c r="K55" s="161"/>
      <c r="L55" s="161"/>
      <c r="M55" s="161"/>
      <c r="N55" s="161"/>
      <c r="O55" s="161"/>
      <c r="P55" s="228"/>
      <c r="Q55" s="162"/>
      <c r="R55" s="160" t="str">
        <f ca="1">IF(ISERROR($V55),"",OFFSET('Smelter Look-up'!$C$4,$V55-4,0)&amp;"")</f>
        <v>Fairsky Industrial Co., Limited</v>
      </c>
      <c r="S55" s="166" t="str">
        <f t="shared" ca="1" si="0"/>
        <v>CN</v>
      </c>
      <c r="T55" s="166" t="str">
        <f ca="1">IF(B55="","",IF(ISERROR(MATCH($J55,SorP!$B$1:$B$6205,0)),"",INDIRECT("'SorP'!$A$"&amp;MATCH($J55,SorP!$B$1:$B$6205,0))))</f>
        <v>CN-HE</v>
      </c>
      <c r="U55" s="180"/>
      <c r="V55" s="181">
        <f ca="1">IF(C55="",NA(),MATCH($B55&amp;$C55,'Smelter Look-up'!$J:$J,0))</f>
        <v>15</v>
      </c>
      <c r="X55" s="182">
        <f t="shared" ca="1" si="1"/>
        <v>0</v>
      </c>
      <c r="AB55" s="182" t="str">
        <f t="shared" ca="1" si="2"/>
        <v>CobaltFairsky Industrial Co., Limited</v>
      </c>
    </row>
    <row r="56" spans="1:28" s="182" customFormat="1" ht="25.5">
      <c r="A56" s="166" t="s">
        <v>162</v>
      </c>
      <c r="B56" s="160" t="str">
        <f ca="1">IF(LEN(A56)=0,"",INDEX('Smelter Look-up'!$A:$A,MATCH($A56,'Smelter Look-up'!$E:$E,0)))</f>
        <v>Cobalt</v>
      </c>
      <c r="C56" s="163" t="str">
        <f ca="1">IF(LEN(A56)=0,"",INDEX('Smelter Look-up'!$C:$C,MATCH($A56,'Smelter Look-up'!$E:$E,0)))</f>
        <v>Hunan Jinxin New Material Holding Co., Ltd.</v>
      </c>
      <c r="D56" s="160"/>
      <c r="E56" s="160" t="str">
        <f ca="1">IF(ISERROR($V56),"",OFFSET('Smelter Look-up'!$D$4,$V56-4,0)&amp;"")</f>
        <v>CHINA</v>
      </c>
      <c r="F56" s="160" t="str">
        <f ca="1">IF(ISERROR($V56),"",OFFSET('Smelter Look-up'!$E$4,$V56-4,0))</f>
        <v>CID003470</v>
      </c>
      <c r="G56" s="160" t="str">
        <f ca="1">IF(C56=$X$4,"Enter smelter details",IF(ISERROR($V56),"",OFFSET('Smelter Look-up'!$F$4,$V56-4,0)))</f>
        <v>RMI</v>
      </c>
      <c r="H56" s="225">
        <f ca="1">IF(ISERROR($V56),"",OFFSET('Smelter Look-up'!$G$4,$V56-4,0))</f>
        <v>0</v>
      </c>
      <c r="I56" s="226" t="str">
        <f ca="1">IF(ISERROR($V56),"",OFFSET('Smelter Look-up'!$H$4,$V56-4,0))</f>
        <v>Yiyang</v>
      </c>
      <c r="J56" s="226" t="str">
        <f ca="1">IF(ISERROR($V56),"",OFFSET('Smelter Look-up'!$I$4,$V56-4,0))</f>
        <v>Hunan Sheng</v>
      </c>
      <c r="K56" s="161"/>
      <c r="L56" s="161"/>
      <c r="M56" s="161"/>
      <c r="N56" s="161"/>
      <c r="O56" s="161"/>
      <c r="P56" s="228"/>
      <c r="Q56" s="162"/>
      <c r="R56" s="160" t="str">
        <f ca="1">IF(ISERROR($V56),"",OFFSET('Smelter Look-up'!$C$4,$V56-4,0)&amp;"")</f>
        <v>Hunan Jinxin New Material Holding Co., Ltd.</v>
      </c>
      <c r="S56" s="166" t="str">
        <f t="shared" ca="1" si="0"/>
        <v>CN</v>
      </c>
      <c r="T56" s="166" t="str">
        <f ca="1">IF(B56="","",IF(ISERROR(MATCH($J56,SorP!$B$1:$B$6205,0)),"",INDIRECT("'SorP'!$A$"&amp;MATCH($J56,SorP!$B$1:$B$6205,0))))</f>
        <v>CN-HN</v>
      </c>
      <c r="U56" s="180"/>
      <c r="V56" s="181">
        <f ca="1">IF(C56="",NA(),MATCH($B56&amp;$C56,'Smelter Look-up'!$J:$J,0))</f>
        <v>32</v>
      </c>
      <c r="X56" s="182">
        <f t="shared" ca="1" si="1"/>
        <v>0</v>
      </c>
      <c r="AB56" s="182" t="str">
        <f t="shared" ca="1" si="2"/>
        <v>CobaltHunan Jinxin New Material Holding Co., Ltd.</v>
      </c>
    </row>
    <row r="57" spans="1:28" s="182" customFormat="1" ht="25.5">
      <c r="A57" s="166" t="s">
        <v>88</v>
      </c>
      <c r="B57" s="160" t="str">
        <f ca="1">IF(LEN(A57)=0,"",INDEX('Smelter Look-up'!$A:$A,MATCH($A57,'Smelter Look-up'!$E:$E,0)))</f>
        <v>Cobalt</v>
      </c>
      <c r="C57" s="163" t="str">
        <f ca="1">IF(LEN(A57)=0,"",INDEX('Smelter Look-up'!$C:$C,MATCH($A57,'Smelter Look-up'!$E:$E,0)))</f>
        <v>CoreMax Corporation</v>
      </c>
      <c r="D57" s="160"/>
      <c r="E57" s="160" t="str">
        <f ca="1">IF(ISERROR($V57),"",OFFSET('Smelter Look-up'!$D$4,$V57-4,0)&amp;"")</f>
        <v>TAIWAN, PROVINCE OF CHINA</v>
      </c>
      <c r="F57" s="160" t="str">
        <f ca="1">IF(ISERROR($V57),"",OFFSET('Smelter Look-up'!$E$4,$V57-4,0))</f>
        <v>CID003473</v>
      </c>
      <c r="G57" s="160" t="str">
        <f ca="1">IF(C57=$X$4,"Enter smelter details",IF(ISERROR($V57),"",OFFSET('Smelter Look-up'!$F$4,$V57-4,0)))</f>
        <v>RMI</v>
      </c>
      <c r="H57" s="225">
        <f ca="1">IF(ISERROR($V57),"",OFFSET('Smelter Look-up'!$G$4,$V57-4,0))</f>
        <v>0</v>
      </c>
      <c r="I57" s="226" t="str">
        <f ca="1">IF(ISERROR($V57),"",OFFSET('Smelter Look-up'!$H$4,$V57-4,0))</f>
        <v>Toufen</v>
      </c>
      <c r="J57" s="226" t="str">
        <f ca="1">IF(ISERROR($V57),"",OFFSET('Smelter Look-up'!$I$4,$V57-4,0))</f>
        <v>Miaoli</v>
      </c>
      <c r="K57" s="161"/>
      <c r="L57" s="161"/>
      <c r="M57" s="161"/>
      <c r="N57" s="161"/>
      <c r="O57" s="161"/>
      <c r="P57" s="228"/>
      <c r="Q57" s="162"/>
      <c r="R57" s="160" t="str">
        <f ca="1">IF(ISERROR($V57),"",OFFSET('Smelter Look-up'!$C$4,$V57-4,0)&amp;"")</f>
        <v>CoreMax Corporation</v>
      </c>
      <c r="S57" s="166" t="str">
        <f t="shared" ca="1" si="0"/>
        <v>TW</v>
      </c>
      <c r="T57" s="166" t="str">
        <f ca="1">IF(B57="","",IF(ISERROR(MATCH($J57,SorP!$B$1:$B$6205,0)),"",INDIRECT("'SorP'!$A$"&amp;MATCH($J57,SorP!$B$1:$B$6205,0))))</f>
        <v>TW-MIA</v>
      </c>
      <c r="U57" s="180"/>
      <c r="V57" s="181">
        <f ca="1">IF(C57="",NA(),MATCH($B57&amp;$C57,'Smelter Look-up'!$J:$J,0))</f>
        <v>11</v>
      </c>
      <c r="X57" s="182">
        <f t="shared" ca="1" si="1"/>
        <v>0</v>
      </c>
      <c r="AB57" s="182" t="str">
        <f t="shared" ca="1" si="2"/>
        <v>CobaltCoreMax Corporation</v>
      </c>
    </row>
    <row r="58" spans="1:28" s="182" customFormat="1" ht="25.5">
      <c r="A58" s="166" t="s">
        <v>77</v>
      </c>
      <c r="B58" s="160" t="str">
        <f ca="1">IF(LEN(A58)=0,"",INDEX('Smelter Look-up'!$A:$A,MATCH($A58,'Smelter Look-up'!$E:$E,0)))</f>
        <v>Cobalt</v>
      </c>
      <c r="C58" s="163" t="str">
        <f ca="1">IF(LEN(A58)=0,"",INDEX('Smelter Look-up'!$C:$C,MATCH($A58,'Smelter Look-up'!$E:$E,0)))</f>
        <v>Chizhou CN New Materials and Technology Co., Ltd.</v>
      </c>
      <c r="D58" s="160"/>
      <c r="E58" s="160" t="str">
        <f ca="1">IF(ISERROR($V58),"",OFFSET('Smelter Look-up'!$D$4,$V58-4,0)&amp;"")</f>
        <v>CHINA</v>
      </c>
      <c r="F58" s="160" t="str">
        <f ca="1">IF(ISERROR($V58),"",OFFSET('Smelter Look-up'!$E$4,$V58-4,0))</f>
        <v>CID003481</v>
      </c>
      <c r="G58" s="160" t="str">
        <f ca="1">IF(C58=$X$4,"Enter smelter details",IF(ISERROR($V58),"",OFFSET('Smelter Look-up'!$F$4,$V58-4,0)))</f>
        <v>RMI</v>
      </c>
      <c r="H58" s="225">
        <f ca="1">IF(ISERROR($V58),"",OFFSET('Smelter Look-up'!$G$4,$V58-4,0))</f>
        <v>0</v>
      </c>
      <c r="I58" s="226" t="str">
        <f ca="1">IF(ISERROR($V58),"",OFFSET('Smelter Look-up'!$H$4,$V58-4,0))</f>
        <v>Chizhou</v>
      </c>
      <c r="J58" s="226" t="str">
        <f ca="1">IF(ISERROR($V58),"",OFFSET('Smelter Look-up'!$I$4,$V58-4,0))</f>
        <v>Anhui Sheng</v>
      </c>
      <c r="K58" s="161"/>
      <c r="L58" s="161"/>
      <c r="M58" s="161"/>
      <c r="N58" s="161"/>
      <c r="O58" s="161"/>
      <c r="P58" s="228"/>
      <c r="Q58" s="162"/>
      <c r="R58" s="160" t="str">
        <f ca="1">IF(ISERROR($V58),"",OFFSET('Smelter Look-up'!$C$4,$V58-4,0)&amp;"")</f>
        <v>Chizhou CN New Materials and Technology Co., Ltd.</v>
      </c>
      <c r="S58" s="166" t="str">
        <f t="shared" ca="1" si="0"/>
        <v>CN</v>
      </c>
      <c r="T58" s="166" t="str">
        <f ca="1">IF(B58="","",IF(ISERROR(MATCH($J58,SorP!$B$1:$B$6205,0)),"",INDIRECT("'SorP'!$A$"&amp;MATCH($J58,SorP!$B$1:$B$6205,0))))</f>
        <v>CN-AH</v>
      </c>
      <c r="U58" s="180"/>
      <c r="V58" s="181">
        <f ca="1">IF(C58="",NA(),MATCH($B58&amp;$C58,'Smelter Look-up'!$J:$J,0))</f>
        <v>7</v>
      </c>
      <c r="X58" s="182">
        <f t="shared" ca="1" si="1"/>
        <v>0</v>
      </c>
      <c r="AB58" s="182" t="str">
        <f t="shared" ca="1" si="2"/>
        <v>CobaltChizhou CN New Materials and Technology Co., Ltd.</v>
      </c>
    </row>
    <row r="59" spans="1:28" s="182" customFormat="1" ht="38.25">
      <c r="A59" s="166" t="s">
        <v>171</v>
      </c>
      <c r="B59" s="160" t="str">
        <f ca="1">IF(LEN(A59)=0,"",INDEX('Smelter Look-up'!$A:$A,MATCH($A59,'Smelter Look-up'!$E:$E,0)))</f>
        <v>Cobalt</v>
      </c>
      <c r="C59" s="163" t="str">
        <f ca="1">IF(LEN(A59)=0,"",INDEX('Smelter Look-up'!$C:$C,MATCH($A59,'Smelter Look-up'!$E:$E,0)))</f>
        <v>ICoNiChem</v>
      </c>
      <c r="D59" s="160"/>
      <c r="E59" s="160" t="str">
        <f ca="1">IF(ISERROR($V59),"",OFFSET('Smelter Look-up'!$D$4,$V59-4,0)&amp;"")</f>
        <v>UNITED KINGDOM OF GREAT BRITAIN AND NORTHERN IRELAND</v>
      </c>
      <c r="F59" s="160" t="str">
        <f ca="1">IF(ISERROR($V59),"",OFFSET('Smelter Look-up'!$E$4,$V59-4,0))</f>
        <v>CID003491</v>
      </c>
      <c r="G59" s="160" t="str">
        <f ca="1">IF(C59=$X$4,"Enter smelter details",IF(ISERROR($V59),"",OFFSET('Smelter Look-up'!$F$4,$V59-4,0)))</f>
        <v>RMI</v>
      </c>
      <c r="H59" s="225">
        <f ca="1">IF(ISERROR($V59),"",OFFSET('Smelter Look-up'!$G$4,$V59-4,0))</f>
        <v>0</v>
      </c>
      <c r="I59" s="226" t="str">
        <f ca="1">IF(ISERROR($V59),"",OFFSET('Smelter Look-up'!$H$4,$V59-4,0))</f>
        <v>Widnes</v>
      </c>
      <c r="J59" s="226" t="str">
        <f ca="1">IF(ISERROR($V59),"",OFFSET('Smelter Look-up'!$I$4,$V59-4,0))</f>
        <v>Cheshire West and Chester</v>
      </c>
      <c r="K59" s="161"/>
      <c r="L59" s="161"/>
      <c r="M59" s="161"/>
      <c r="N59" s="161"/>
      <c r="O59" s="161"/>
      <c r="P59" s="228"/>
      <c r="Q59" s="162"/>
      <c r="R59" s="160" t="str">
        <f ca="1">IF(ISERROR($V59),"",OFFSET('Smelter Look-up'!$C$4,$V59-4,0)&amp;"")</f>
        <v>ICoNiChem</v>
      </c>
      <c r="S59" s="166" t="str">
        <f t="shared" ca="1" si="0"/>
        <v>GB</v>
      </c>
      <c r="T59" s="166" t="str">
        <f ca="1">IF(B59="","",IF(ISERROR(MATCH($J59,SorP!$B$1:$B$6205,0)),"",INDIRECT("'SorP'!$A$"&amp;MATCH($J59,SorP!$B$1:$B$6205,0))))</f>
        <v>GB-CHW</v>
      </c>
      <c r="U59" s="180"/>
      <c r="V59" s="181">
        <f ca="1">IF(C59="",NA(),MATCH($B59&amp;$C59,'Smelter Look-up'!$J:$J,0))</f>
        <v>36</v>
      </c>
      <c r="X59" s="182">
        <f t="shared" ca="1" si="1"/>
        <v>0</v>
      </c>
      <c r="AB59" s="182" t="str">
        <f t="shared" ca="1" si="2"/>
        <v>CobaltICoNiChem</v>
      </c>
    </row>
    <row r="60" spans="1:28" s="182" customFormat="1" ht="20.25">
      <c r="A60" s="166" t="s">
        <v>390</v>
      </c>
      <c r="B60" s="160" t="str">
        <f ca="1">IF(LEN(A60)=0,"",INDEX('Smelter Look-up'!$A:$A,MATCH($A60,'Smelter Look-up'!$E:$E,0)))</f>
        <v>Mica</v>
      </c>
      <c r="C60" s="163" t="str">
        <f ca="1">IF(LEN(A60)=0,"",INDEX('Smelter Look-up'!$C:$C,MATCH($A60,'Smelter Look-up'!$E:$E,0)))</f>
        <v>Yamaguchi Mica</v>
      </c>
      <c r="D60" s="160"/>
      <c r="E60" s="160" t="str">
        <f ca="1">IF(ISERROR($V60),"",OFFSET('Smelter Look-up'!$D$4,$V60-4,0)&amp;"")</f>
        <v>JAPAN</v>
      </c>
      <c r="F60" s="160" t="str">
        <f ca="1">IF(ISERROR($V60),"",OFFSET('Smelter Look-up'!$E$4,$V60-4,0))</f>
        <v>CID003512</v>
      </c>
      <c r="G60" s="160" t="str">
        <f ca="1">IF(C60=$X$4,"Enter smelter details",IF(ISERROR($V60),"",OFFSET('Smelter Look-up'!$F$4,$V60-4,0)))</f>
        <v>RMI</v>
      </c>
      <c r="H60" s="225">
        <f ca="1">IF(ISERROR($V60),"",OFFSET('Smelter Look-up'!$G$4,$V60-4,0))</f>
        <v>0</v>
      </c>
      <c r="I60" s="226" t="str">
        <f ca="1">IF(ISERROR($V60),"",OFFSET('Smelter Look-up'!$H$4,$V60-4,0))</f>
        <v>Toyokawa</v>
      </c>
      <c r="J60" s="226" t="str">
        <f ca="1">IF(ISERROR($V60),"",OFFSET('Smelter Look-up'!$I$4,$V60-4,0))</f>
        <v>Aichi</v>
      </c>
      <c r="K60" s="161"/>
      <c r="L60" s="161"/>
      <c r="M60" s="161"/>
      <c r="N60" s="161"/>
      <c r="O60" s="161"/>
      <c r="P60" s="228"/>
      <c r="Q60" s="162"/>
      <c r="R60" s="160" t="str">
        <f ca="1">IF(ISERROR($V60),"",OFFSET('Smelter Look-up'!$C$4,$V60-4,0)&amp;"")</f>
        <v>Yamaguchi Mica</v>
      </c>
      <c r="S60" s="166" t="str">
        <f t="shared" ca="1" si="0"/>
        <v>JP</v>
      </c>
      <c r="T60" s="166" t="str">
        <f ca="1">IF(B60="","",IF(ISERROR(MATCH($J60,SorP!$B$1:$B$6205,0)),"",INDIRECT("'SorP'!$A$"&amp;MATCH($J60,SorP!$B$1:$B$6205,0))))</f>
        <v>JP-23</v>
      </c>
      <c r="U60" s="180"/>
      <c r="V60" s="181">
        <f ca="1">IF(C60="",NA(),MATCH($B60&amp;$C60,'Smelter Look-up'!$J:$J,0))</f>
        <v>120</v>
      </c>
      <c r="X60" s="182">
        <f t="shared" ca="1" si="1"/>
        <v>0</v>
      </c>
      <c r="AB60" s="182" t="str">
        <f t="shared" ca="1" si="2"/>
        <v>MicaYamaguchi Mica</v>
      </c>
    </row>
    <row r="61" spans="1:28" s="182" customFormat="1" ht="25.5">
      <c r="A61" s="166" t="s">
        <v>335</v>
      </c>
      <c r="B61" s="160" t="str">
        <f ca="1">IF(LEN(A61)=0,"",INDEX('Smelter Look-up'!$A:$A,MATCH($A61,'Smelter Look-up'!$E:$E,0)))</f>
        <v>Cobalt</v>
      </c>
      <c r="C61" s="163" t="str">
        <f ca="1">IF(LEN(A61)=0,"",INDEX('Smelter Look-up'!$C:$C,MATCH($A61,'Smelter Look-up'!$E:$E,0)))</f>
        <v>Zhejiang Zhongjin Greatpower Lithium-Battery Industrial Corporation Co., Ltd.</v>
      </c>
      <c r="D61" s="160"/>
      <c r="E61" s="160" t="str">
        <f ca="1">IF(ISERROR($V61),"",OFFSET('Smelter Look-up'!$D$4,$V61-4,0)&amp;"")</f>
        <v>CHINA</v>
      </c>
      <c r="F61" s="160" t="str">
        <f ca="1">IF(ISERROR($V61),"",OFFSET('Smelter Look-up'!$E$4,$V61-4,0))</f>
        <v>CID003526</v>
      </c>
      <c r="G61" s="160" t="str">
        <f ca="1">IF(C61=$X$4,"Enter smelter details",IF(ISERROR($V61),"",OFFSET('Smelter Look-up'!$F$4,$V61-4,0)))</f>
        <v>RMI</v>
      </c>
      <c r="H61" s="225">
        <f ca="1">IF(ISERROR($V61),"",OFFSET('Smelter Look-up'!$G$4,$V61-4,0))</f>
        <v>0</v>
      </c>
      <c r="I61" s="226" t="str">
        <f ca="1">IF(ISERROR($V61),"",OFFSET('Smelter Look-up'!$H$4,$V61-4,0))</f>
        <v>Shaoxing</v>
      </c>
      <c r="J61" s="226" t="str">
        <f ca="1">IF(ISERROR($V61),"",OFFSET('Smelter Look-up'!$I$4,$V61-4,0))</f>
        <v>Zhejiang Sheng</v>
      </c>
      <c r="K61" s="161"/>
      <c r="L61" s="161"/>
      <c r="M61" s="161"/>
      <c r="N61" s="161"/>
      <c r="O61" s="161"/>
      <c r="P61" s="228"/>
      <c r="Q61" s="162"/>
      <c r="R61" s="160" t="str">
        <f ca="1">IF(ISERROR($V61),"",OFFSET('Smelter Look-up'!$C$4,$V61-4,0)&amp;"")</f>
        <v>Zhejiang Zhongjin Greatpower Lithium-Battery Industrial Corporation Co., Ltd.</v>
      </c>
      <c r="S61" s="166" t="str">
        <f t="shared" ca="1" si="0"/>
        <v>CN</v>
      </c>
      <c r="T61" s="166" t="str">
        <f ca="1">IF(B61="","",IF(ISERROR(MATCH($J61,SorP!$B$1:$B$6205,0)),"",INDIRECT("'SorP'!$A$"&amp;MATCH($J61,SorP!$B$1:$B$6205,0))))</f>
        <v>CN-ZJ</v>
      </c>
      <c r="U61" s="180"/>
      <c r="V61" s="181">
        <f ca="1">IF(C61="",NA(),MATCH($B61&amp;$C61,'Smelter Look-up'!$J:$J,0))</f>
        <v>101</v>
      </c>
      <c r="X61" s="182">
        <f t="shared" ca="1" si="1"/>
        <v>0</v>
      </c>
      <c r="AB61" s="182" t="str">
        <f t="shared" ca="1" si="2"/>
        <v>CobaltZhejiang Zhongjin Greatpower Lithium-Battery Industrial Corporation Co., Ltd.</v>
      </c>
    </row>
    <row r="62" spans="1:28" s="182" customFormat="1" ht="25.5">
      <c r="A62" s="166" t="s">
        <v>227</v>
      </c>
      <c r="B62" s="160" t="str">
        <f ca="1">IF(LEN(A62)=0,"",INDEX('Smelter Look-up'!$A:$A,MATCH($A62,'Smelter Look-up'!$E:$E,0)))</f>
        <v>Cobalt</v>
      </c>
      <c r="C62" s="163" t="str">
        <f ca="1">IF(LEN(A62)=0,"",INDEX('Smelter Look-up'!$C:$C,MATCH($A62,'Smelter Look-up'!$E:$E,0)))</f>
        <v>Mechema Taiwan Plant 1</v>
      </c>
      <c r="D62" s="160"/>
      <c r="E62" s="160" t="str">
        <f ca="1">IF(ISERROR($V62),"",OFFSET('Smelter Look-up'!$D$4,$V62-4,0)&amp;"")</f>
        <v>TAIWAN, PROVINCE OF CHINA</v>
      </c>
      <c r="F62" s="160" t="str">
        <f ca="1">IF(ISERROR($V62),"",OFFSET('Smelter Look-up'!$E$4,$V62-4,0))</f>
        <v>CID003533</v>
      </c>
      <c r="G62" s="160" t="str">
        <f ca="1">IF(C62=$X$4,"Enter smelter details",IF(ISERROR($V62),"",OFFSET('Smelter Look-up'!$F$4,$V62-4,0)))</f>
        <v>RMI</v>
      </c>
      <c r="H62" s="225">
        <f ca="1">IF(ISERROR($V62),"",OFFSET('Smelter Look-up'!$G$4,$V62-4,0))</f>
        <v>0</v>
      </c>
      <c r="I62" s="226" t="str">
        <f ca="1">IF(ISERROR($V62),"",OFFSET('Smelter Look-up'!$H$4,$V62-4,0))</f>
        <v>Taoyuan</v>
      </c>
      <c r="J62" s="226" t="str">
        <f ca="1">IF(ISERROR($V62),"",OFFSET('Smelter Look-up'!$I$4,$V62-4,0))</f>
        <v>Taoyuan</v>
      </c>
      <c r="K62" s="161"/>
      <c r="L62" s="161"/>
      <c r="M62" s="161"/>
      <c r="N62" s="161"/>
      <c r="O62" s="161"/>
      <c r="P62" s="228"/>
      <c r="Q62" s="162"/>
      <c r="R62" s="160" t="str">
        <f ca="1">IF(ISERROR($V62),"",OFFSET('Smelter Look-up'!$C$4,$V62-4,0)&amp;"")</f>
        <v>Mechema Taiwan Plant 1</v>
      </c>
      <c r="S62" s="166" t="str">
        <f t="shared" ca="1" si="0"/>
        <v>TW</v>
      </c>
      <c r="T62" s="166" t="str">
        <f ca="1">IF(B62="","",IF(ISERROR(MATCH($J62,SorP!$B$1:$B$6205,0)),"",INDIRECT("'SorP'!$A$"&amp;MATCH($J62,SorP!$B$1:$B$6205,0))))</f>
        <v>TW-TAO</v>
      </c>
      <c r="U62" s="180"/>
      <c r="V62" s="181">
        <f ca="1">IF(C62="",NA(),MATCH($B62&amp;$C62,'Smelter Look-up'!$J:$J,0))</f>
        <v>56</v>
      </c>
      <c r="X62" s="182">
        <f t="shared" ca="1" si="1"/>
        <v>0</v>
      </c>
      <c r="AB62" s="182" t="str">
        <f t="shared" ca="1" si="2"/>
        <v>CobaltMechema Taiwan Plant 1</v>
      </c>
    </row>
    <row r="63" spans="1:28" s="182" customFormat="1" ht="25.5">
      <c r="A63" s="166" t="s">
        <v>230</v>
      </c>
      <c r="B63" s="160" t="str">
        <f ca="1">IF(LEN(A63)=0,"",INDEX('Smelter Look-up'!$A:$A,MATCH($A63,'Smelter Look-up'!$E:$E,0)))</f>
        <v>Cobalt</v>
      </c>
      <c r="C63" s="163" t="str">
        <f ca="1">IF(LEN(A63)=0,"",INDEX('Smelter Look-up'!$C:$C,MATCH($A63,'Smelter Look-up'!$E:$E,0)))</f>
        <v>Mechema Taiwan Plant 2</v>
      </c>
      <c r="D63" s="160"/>
      <c r="E63" s="160" t="str">
        <f ca="1">IF(ISERROR($V63),"",OFFSET('Smelter Look-up'!$D$4,$V63-4,0)&amp;"")</f>
        <v>TAIWAN, PROVINCE OF CHINA</v>
      </c>
      <c r="F63" s="160" t="str">
        <f ca="1">IF(ISERROR($V63),"",OFFSET('Smelter Look-up'!$E$4,$V63-4,0))</f>
        <v>CID003534</v>
      </c>
      <c r="G63" s="160" t="str">
        <f ca="1">IF(C63=$X$4,"Enter smelter details",IF(ISERROR($V63),"",OFFSET('Smelter Look-up'!$F$4,$V63-4,0)))</f>
        <v>RMI</v>
      </c>
      <c r="H63" s="225">
        <f ca="1">IF(ISERROR($V63),"",OFFSET('Smelter Look-up'!$G$4,$V63-4,0))</f>
        <v>0</v>
      </c>
      <c r="I63" s="226" t="str">
        <f ca="1">IF(ISERROR($V63),"",OFFSET('Smelter Look-up'!$H$4,$V63-4,0))</f>
        <v>Taoyuan</v>
      </c>
      <c r="J63" s="226" t="str">
        <f ca="1">IF(ISERROR($V63),"",OFFSET('Smelter Look-up'!$I$4,$V63-4,0))</f>
        <v>Taoyuan</v>
      </c>
      <c r="K63" s="161"/>
      <c r="L63" s="161"/>
      <c r="M63" s="161"/>
      <c r="N63" s="161"/>
      <c r="O63" s="161"/>
      <c r="P63" s="228"/>
      <c r="Q63" s="162"/>
      <c r="R63" s="160" t="str">
        <f ca="1">IF(ISERROR($V63),"",OFFSET('Smelter Look-up'!$C$4,$V63-4,0)&amp;"")</f>
        <v>Mechema Taiwan Plant 2</v>
      </c>
      <c r="S63" s="166" t="str">
        <f t="shared" ca="1" si="0"/>
        <v>TW</v>
      </c>
      <c r="T63" s="166" t="str">
        <f ca="1">IF(B63="","",IF(ISERROR(MATCH($J63,SorP!$B$1:$B$6205,0)),"",INDIRECT("'SorP'!$A$"&amp;MATCH($J63,SorP!$B$1:$B$6205,0))))</f>
        <v>TW-TAO</v>
      </c>
      <c r="U63" s="180"/>
      <c r="V63" s="181">
        <f ca="1">IF(C63="",NA(),MATCH($B63&amp;$C63,'Smelter Look-up'!$J:$J,0))</f>
        <v>57</v>
      </c>
      <c r="X63" s="182">
        <f t="shared" ref="X63:X126" ca="1" si="3">IF(AND(C63="Smelter not listed",OR(LEN(D63)=0,LEN(E63)=0)),1,0)</f>
        <v>0</v>
      </c>
      <c r="AB63" s="182" t="str">
        <f t="shared" ref="AB63:AB126" ca="1" si="4">B63&amp;C63</f>
        <v>CobaltMechema Taiwan Plant 2</v>
      </c>
    </row>
    <row r="64" spans="1:28" s="182" customFormat="1" ht="20.25">
      <c r="A64" s="166" t="s">
        <v>225</v>
      </c>
      <c r="B64" s="160" t="str">
        <f ca="1">IF(LEN(A64)=0,"",INDEX('Smelter Look-up'!$A:$A,MATCH($A64,'Smelter Look-up'!$E:$E,0)))</f>
        <v>Cobalt</v>
      </c>
      <c r="C64" s="163" t="str">
        <f ca="1">IF(LEN(A64)=0,"",INDEX('Smelter Look-up'!$C:$C,MATCH($A64,'Smelter Look-up'!$E:$E,0)))</f>
        <v>Mechema Korea, Co., Ltd.</v>
      </c>
      <c r="D64" s="160"/>
      <c r="E64" s="160" t="str">
        <f ca="1">IF(ISERROR($V64),"",OFFSET('Smelter Look-up'!$D$4,$V64-4,0)&amp;"")</f>
        <v>KOREA, REPUBLIC OF</v>
      </c>
      <c r="F64" s="160" t="str">
        <f ca="1">IF(ISERROR($V64),"",OFFSET('Smelter Look-up'!$E$4,$V64-4,0))</f>
        <v>CID003535</v>
      </c>
      <c r="G64" s="160" t="str">
        <f ca="1">IF(C64=$X$4,"Enter smelter details",IF(ISERROR($V64),"",OFFSET('Smelter Look-up'!$F$4,$V64-4,0)))</f>
        <v>RMI</v>
      </c>
      <c r="H64" s="225">
        <f ca="1">IF(ISERROR($V64),"",OFFSET('Smelter Look-up'!$G$4,$V64-4,0))</f>
        <v>0</v>
      </c>
      <c r="I64" s="226" t="str">
        <f ca="1">IF(ISERROR($V64),"",OFFSET('Smelter Look-up'!$H$4,$V64-4,0))</f>
        <v>Ulsan</v>
      </c>
      <c r="J64" s="226" t="str">
        <f ca="1">IF(ISERROR($V64),"",OFFSET('Smelter Look-up'!$I$4,$V64-4,0))</f>
        <v>Gyeongsangnam-do</v>
      </c>
      <c r="K64" s="161"/>
      <c r="L64" s="161"/>
      <c r="M64" s="161"/>
      <c r="N64" s="161"/>
      <c r="O64" s="161"/>
      <c r="P64" s="228"/>
      <c r="Q64" s="162"/>
      <c r="R64" s="160" t="str">
        <f ca="1">IF(ISERROR($V64),"",OFFSET('Smelter Look-up'!$C$4,$V64-4,0)&amp;"")</f>
        <v>Mechema Korea, Co., Ltd.</v>
      </c>
      <c r="S64" s="166" t="str">
        <f t="shared" ref="S64:S127" ca="1" si="5">IF(B64="","",IF(ISERROR(MATCH($E64,CL,0)),"Unknown",INDIRECT("'C'!$A$"&amp;MATCH($E64,CL,0)+1)))</f>
        <v>KR</v>
      </c>
      <c r="T64" s="166" t="str">
        <f ca="1">IF(B64="","",IF(ISERROR(MATCH($J64,SorP!$B$1:$B$6205,0)),"",INDIRECT("'SorP'!$A$"&amp;MATCH($J64,SorP!$B$1:$B$6205,0))))</f>
        <v>KR-48</v>
      </c>
      <c r="U64" s="180"/>
      <c r="V64" s="181">
        <f ca="1">IF(C64="",NA(),MATCH($B64&amp;$C64,'Smelter Look-up'!$J:$J,0))</f>
        <v>55</v>
      </c>
      <c r="X64" s="182">
        <f t="shared" ca="1" si="3"/>
        <v>0</v>
      </c>
      <c r="AB64" s="182" t="str">
        <f t="shared" ca="1" si="4"/>
        <v>CobaltMechema Korea, Co., Ltd.</v>
      </c>
    </row>
    <row r="65" spans="1:28" s="182" customFormat="1" ht="20.25">
      <c r="A65" s="166" t="s">
        <v>221</v>
      </c>
      <c r="B65" s="160" t="str">
        <f ca="1">IF(LEN(A65)=0,"",INDEX('Smelter Look-up'!$A:$A,MATCH($A65,'Smelter Look-up'!$E:$E,0)))</f>
        <v>Cobalt</v>
      </c>
      <c r="C65" s="163" t="str">
        <f ca="1">IF(LEN(A65)=0,"",INDEX('Smelter Look-up'!$C:$C,MATCH($A65,'Smelter Look-up'!$E:$E,0)))</f>
        <v>Mechema Chemicals shang-yu</v>
      </c>
      <c r="D65" s="160"/>
      <c r="E65" s="160" t="str">
        <f ca="1">IF(ISERROR($V65),"",OFFSET('Smelter Look-up'!$D$4,$V65-4,0)&amp;"")</f>
        <v>CHINA</v>
      </c>
      <c r="F65" s="160" t="str">
        <f ca="1">IF(ISERROR($V65),"",OFFSET('Smelter Look-up'!$E$4,$V65-4,0))</f>
        <v>CID003536</v>
      </c>
      <c r="G65" s="160" t="str">
        <f ca="1">IF(C65=$X$4,"Enter smelter details",IF(ISERROR($V65),"",OFFSET('Smelter Look-up'!$F$4,$V65-4,0)))</f>
        <v>RMI</v>
      </c>
      <c r="H65" s="225">
        <f ca="1">IF(ISERROR($V65),"",OFFSET('Smelter Look-up'!$G$4,$V65-4,0))</f>
        <v>0</v>
      </c>
      <c r="I65" s="226" t="str">
        <f ca="1">IF(ISERROR($V65),"",OFFSET('Smelter Look-up'!$H$4,$V65-4,0))</f>
        <v>Shaoxing</v>
      </c>
      <c r="J65" s="226" t="str">
        <f ca="1">IF(ISERROR($V65),"",OFFSET('Smelter Look-up'!$I$4,$V65-4,0))</f>
        <v>Zhejiang Sheng</v>
      </c>
      <c r="K65" s="161"/>
      <c r="L65" s="161"/>
      <c r="M65" s="161"/>
      <c r="N65" s="161"/>
      <c r="O65" s="161"/>
      <c r="P65" s="228"/>
      <c r="Q65" s="162"/>
      <c r="R65" s="160" t="str">
        <f ca="1">IF(ISERROR($V65),"",OFFSET('Smelter Look-up'!$C$4,$V65-4,0)&amp;"")</f>
        <v>Mechema Chemicals shang-yu</v>
      </c>
      <c r="S65" s="166" t="str">
        <f t="shared" ca="1" si="5"/>
        <v>CN</v>
      </c>
      <c r="T65" s="166" t="str">
        <f ca="1">IF(B65="","",IF(ISERROR(MATCH($J65,SorP!$B$1:$B$6205,0)),"",INDIRECT("'SorP'!$A$"&amp;MATCH($J65,SorP!$B$1:$B$6205,0))))</f>
        <v>CN-ZJ</v>
      </c>
      <c r="U65" s="180"/>
      <c r="V65" s="181">
        <f ca="1">IF(C65="",NA(),MATCH($B65&amp;$C65,'Smelter Look-up'!$J:$J,0))</f>
        <v>54</v>
      </c>
      <c r="X65" s="182">
        <f t="shared" ca="1" si="3"/>
        <v>0</v>
      </c>
      <c r="AB65" s="182" t="str">
        <f t="shared" ca="1" si="4"/>
        <v>CobaltMechema Chemicals shang-yu</v>
      </c>
    </row>
    <row r="66" spans="1:28" s="182" customFormat="1" ht="20.25">
      <c r="A66" s="166" t="s">
        <v>218</v>
      </c>
      <c r="B66" s="160" t="str">
        <f ca="1">IF(LEN(A66)=0,"",INDEX('Smelter Look-up'!$A:$A,MATCH($A66,'Smelter Look-up'!$E:$E,0)))</f>
        <v>Cobalt</v>
      </c>
      <c r="C66" s="163" t="str">
        <f ca="1">IF(LEN(A66)=0,"",INDEX('Smelter Look-up'!$C:$C,MATCH($A66,'Smelter Look-up'!$E:$E,0)))</f>
        <v>Mechema Chemicals (Thailand) Co., Ltd.</v>
      </c>
      <c r="D66" s="160"/>
      <c r="E66" s="160" t="str">
        <f ca="1">IF(ISERROR($V66),"",OFFSET('Smelter Look-up'!$D$4,$V66-4,0)&amp;"")</f>
        <v>THAILAND</v>
      </c>
      <c r="F66" s="160" t="str">
        <f ca="1">IF(ISERROR($V66),"",OFFSET('Smelter Look-up'!$E$4,$V66-4,0))</f>
        <v>CID003537</v>
      </c>
      <c r="G66" s="160" t="str">
        <f ca="1">IF(C66=$X$4,"Enter smelter details",IF(ISERROR($V66),"",OFFSET('Smelter Look-up'!$F$4,$V66-4,0)))</f>
        <v>RMI</v>
      </c>
      <c r="H66" s="225">
        <f ca="1">IF(ISERROR($V66),"",OFFSET('Smelter Look-up'!$G$4,$V66-4,0))</f>
        <v>0</v>
      </c>
      <c r="I66" s="226" t="str">
        <f ca="1">IF(ISERROR($V66),"",OFFSET('Smelter Look-up'!$H$4,$V66-4,0))</f>
        <v>Rayong</v>
      </c>
      <c r="J66" s="226" t="str">
        <f ca="1">IF(ISERROR($V66),"",OFFSET('Smelter Look-up'!$I$4,$V66-4,0))</f>
        <v>Rayong</v>
      </c>
      <c r="K66" s="161"/>
      <c r="L66" s="161"/>
      <c r="M66" s="161"/>
      <c r="N66" s="161"/>
      <c r="O66" s="161"/>
      <c r="P66" s="228"/>
      <c r="Q66" s="162"/>
      <c r="R66" s="160" t="str">
        <f ca="1">IF(ISERROR($V66),"",OFFSET('Smelter Look-up'!$C$4,$V66-4,0)&amp;"")</f>
        <v>Mechema Chemicals (Thailand) Co., Ltd.</v>
      </c>
      <c r="S66" s="166" t="str">
        <f t="shared" ca="1" si="5"/>
        <v>TH</v>
      </c>
      <c r="T66" s="166" t="str">
        <f ca="1">IF(B66="","",IF(ISERROR(MATCH($J66,SorP!$B$1:$B$6205,0)),"",INDIRECT("'SorP'!$A$"&amp;MATCH($J66,SorP!$B$1:$B$6205,0))))</f>
        <v>TH-21</v>
      </c>
      <c r="U66" s="180"/>
      <c r="V66" s="181">
        <f ca="1">IF(C66="",NA(),MATCH($B66&amp;$C66,'Smelter Look-up'!$J:$J,0))</f>
        <v>53</v>
      </c>
      <c r="X66" s="182">
        <f t="shared" ca="1" si="3"/>
        <v>0</v>
      </c>
      <c r="AB66" s="182" t="str">
        <f t="shared" ca="1" si="4"/>
        <v>CobaltMechema Chemicals (Thailand) Co., Ltd.</v>
      </c>
    </row>
    <row r="67" spans="1:28" s="182" customFormat="1" ht="20.25">
      <c r="A67" s="166" t="s">
        <v>279</v>
      </c>
      <c r="B67" s="160" t="str">
        <f ca="1">IF(LEN(A67)=0,"",INDEX('Smelter Look-up'!$A:$A,MATCH($A67,'Smelter Look-up'!$E:$E,0)))</f>
        <v>Cobalt</v>
      </c>
      <c r="C67" s="163" t="str">
        <f ca="1">IF(LEN(A67)=0,"",INDEX('Smelter Look-up'!$C:$C,MATCH($A67,'Smelter Look-up'!$E:$E,0)))</f>
        <v>PT Mechema Indonesia</v>
      </c>
      <c r="D67" s="160"/>
      <c r="E67" s="160" t="str">
        <f ca="1">IF(ISERROR($V67),"",OFFSET('Smelter Look-up'!$D$4,$V67-4,0)&amp;"")</f>
        <v>INDONESIA</v>
      </c>
      <c r="F67" s="160" t="str">
        <f ca="1">IF(ISERROR($V67),"",OFFSET('Smelter Look-up'!$E$4,$V67-4,0))</f>
        <v>CID003538</v>
      </c>
      <c r="G67" s="160" t="str">
        <f ca="1">IF(C67=$X$4,"Enter smelter details",IF(ISERROR($V67),"",OFFSET('Smelter Look-up'!$F$4,$V67-4,0)))</f>
        <v>RMI</v>
      </c>
      <c r="H67" s="225">
        <f ca="1">IF(ISERROR($V67),"",OFFSET('Smelter Look-up'!$G$4,$V67-4,0))</f>
        <v>0</v>
      </c>
      <c r="I67" s="226" t="str">
        <f ca="1">IF(ISERROR($V67),"",OFFSET('Smelter Look-up'!$H$4,$V67-4,0))</f>
        <v>Bekasi</v>
      </c>
      <c r="J67" s="226" t="str">
        <f ca="1">IF(ISERROR($V67),"",OFFSET('Smelter Look-up'!$I$4,$V67-4,0))</f>
        <v>Jawa Barat</v>
      </c>
      <c r="K67" s="161"/>
      <c r="L67" s="161"/>
      <c r="M67" s="161"/>
      <c r="N67" s="161"/>
      <c r="O67" s="161"/>
      <c r="P67" s="228"/>
      <c r="Q67" s="162"/>
      <c r="R67" s="160" t="str">
        <f ca="1">IF(ISERROR($V67),"",OFFSET('Smelter Look-up'!$C$4,$V67-4,0)&amp;"")</f>
        <v>PT Mechema Indonesia</v>
      </c>
      <c r="S67" s="166" t="str">
        <f t="shared" ca="1" si="5"/>
        <v>ID</v>
      </c>
      <c r="T67" s="166" t="str">
        <f ca="1">IF(B67="","",IF(ISERROR(MATCH($J67,SorP!$B$1:$B$6205,0)),"",INDIRECT("'SorP'!$A$"&amp;MATCH($J67,SorP!$B$1:$B$6205,0))))</f>
        <v>ID-JB</v>
      </c>
      <c r="U67" s="180"/>
      <c r="V67" s="181">
        <f ca="1">IF(C67="",NA(),MATCH($B67&amp;$C67,'Smelter Look-up'!$J:$J,0))</f>
        <v>76</v>
      </c>
      <c r="X67" s="182">
        <f t="shared" ca="1" si="3"/>
        <v>0</v>
      </c>
      <c r="AB67" s="182" t="str">
        <f t="shared" ca="1" si="4"/>
        <v>CobaltPT Mechema Indonesia</v>
      </c>
    </row>
    <row r="68" spans="1:28" s="182" customFormat="1" ht="20.25">
      <c r="A68" s="166" t="s">
        <v>148</v>
      </c>
      <c r="B68" s="160" t="str">
        <f ca="1">IF(LEN(A68)=0,"",INDEX('Smelter Look-up'!$A:$A,MATCH($A68,'Smelter Look-up'!$E:$E,0)))</f>
        <v>Cobalt</v>
      </c>
      <c r="C68" s="163" t="str">
        <f ca="1">IF(LEN(A68)=0,"",INDEX('Smelter Look-up'!$C:$C,MATCH($A68,'Smelter Look-up'!$E:$E,0)))</f>
        <v>Harima Refinery, Sumitomo Metal Mining</v>
      </c>
      <c r="D68" s="160"/>
      <c r="E68" s="160" t="str">
        <f ca="1">IF(ISERROR($V68),"",OFFSET('Smelter Look-up'!$D$4,$V68-4,0)&amp;"")</f>
        <v>JAPAN</v>
      </c>
      <c r="F68" s="160" t="str">
        <f ca="1">IF(ISERROR($V68),"",OFFSET('Smelter Look-up'!$E$4,$V68-4,0))</f>
        <v>CID003577</v>
      </c>
      <c r="G68" s="160" t="str">
        <f ca="1">IF(C68=$X$4,"Enter smelter details",IF(ISERROR($V68),"",OFFSET('Smelter Look-up'!$F$4,$V68-4,0)))</f>
        <v>RMI</v>
      </c>
      <c r="H68" s="225">
        <f ca="1">IF(ISERROR($V68),"",OFFSET('Smelter Look-up'!$G$4,$V68-4,0))</f>
        <v>0</v>
      </c>
      <c r="I68" s="226" t="str">
        <f ca="1">IF(ISERROR($V68),"",OFFSET('Smelter Look-up'!$H$4,$V68-4,0))</f>
        <v>Kako-gun</v>
      </c>
      <c r="J68" s="226" t="str">
        <f ca="1">IF(ISERROR($V68),"",OFFSET('Smelter Look-up'!$I$4,$V68-4,0))</f>
        <v>Hyogo</v>
      </c>
      <c r="K68" s="161"/>
      <c r="L68" s="161"/>
      <c r="M68" s="161"/>
      <c r="N68" s="161"/>
      <c r="O68" s="161"/>
      <c r="P68" s="228"/>
      <c r="Q68" s="162"/>
      <c r="R68" s="160" t="str">
        <f ca="1">IF(ISERROR($V68),"",OFFSET('Smelter Look-up'!$C$4,$V68-4,0)&amp;"")</f>
        <v>Harima Refinery, Sumitomo Metal Mining</v>
      </c>
      <c r="S68" s="166" t="str">
        <f t="shared" ca="1" si="5"/>
        <v>JP</v>
      </c>
      <c r="T68" s="166" t="str">
        <f ca="1">IF(B68="","",IF(ISERROR(MATCH($J68,SorP!$B$1:$B$6205,0)),"",INDIRECT("'SorP'!$A$"&amp;MATCH($J68,SorP!$B$1:$B$6205,0))))</f>
        <v>JP-28</v>
      </c>
      <c r="U68" s="180"/>
      <c r="V68" s="181">
        <f ca="1">IF(C68="",NA(),MATCH($B68&amp;$C68,'Smelter Look-up'!$J:$J,0))</f>
        <v>27</v>
      </c>
      <c r="X68" s="182">
        <f t="shared" ca="1" si="3"/>
        <v>0</v>
      </c>
      <c r="AB68" s="182" t="str">
        <f t="shared" ca="1" si="4"/>
        <v>CobaltHarima Refinery, Sumitomo Metal Mining</v>
      </c>
    </row>
    <row r="69" spans="1:28" s="182" customFormat="1" ht="25.5">
      <c r="A69" s="166" t="s">
        <v>309</v>
      </c>
      <c r="B69" s="160" t="str">
        <f ca="1">IF(LEN(A69)=0,"",INDEX('Smelter Look-up'!$A:$A,MATCH($A69,'Smelter Look-up'!$E:$E,0)))</f>
        <v>Cobalt</v>
      </c>
      <c r="C69" s="163" t="str">
        <f ca="1">IF(LEN(A69)=0,"",INDEX('Smelter Look-up'!$C:$C,MATCH($A69,'Smelter Look-up'!$E:$E,0)))</f>
        <v>Vale – Long Harbour Processing Plant (LHPP)</v>
      </c>
      <c r="D69" s="160"/>
      <c r="E69" s="160" t="str">
        <f ca="1">IF(ISERROR($V69),"",OFFSET('Smelter Look-up'!$D$4,$V69-4,0)&amp;"")</f>
        <v>CANADA</v>
      </c>
      <c r="F69" s="160" t="str">
        <f ca="1">IF(ISERROR($V69),"",OFFSET('Smelter Look-up'!$E$4,$V69-4,0))</f>
        <v>CID003584</v>
      </c>
      <c r="G69" s="160" t="str">
        <f ca="1">IF(C69=$X$4,"Enter smelter details",IF(ISERROR($V69),"",OFFSET('Smelter Look-up'!$F$4,$V69-4,0)))</f>
        <v>RMI</v>
      </c>
      <c r="H69" s="225">
        <f ca="1">IF(ISERROR($V69),"",OFFSET('Smelter Look-up'!$G$4,$V69-4,0))</f>
        <v>0</v>
      </c>
      <c r="I69" s="226" t="str">
        <f ca="1">IF(ISERROR($V69),"",OFFSET('Smelter Look-up'!$H$4,$V69-4,0))</f>
        <v>Long Harbour</v>
      </c>
      <c r="J69" s="226" t="str">
        <f ca="1">IF(ISERROR($V69),"",OFFSET('Smelter Look-up'!$I$4,$V69-4,0))</f>
        <v>Newfoundland and Labrador</v>
      </c>
      <c r="K69" s="161"/>
      <c r="L69" s="161"/>
      <c r="M69" s="161"/>
      <c r="N69" s="161"/>
      <c r="O69" s="161"/>
      <c r="P69" s="228"/>
      <c r="Q69" s="162"/>
      <c r="R69" s="160" t="str">
        <f ca="1">IF(ISERROR($V69),"",OFFSET('Smelter Look-up'!$C$4,$V69-4,0)&amp;"")</f>
        <v>Vale – Long Harbour Processing Plant (LHPP)</v>
      </c>
      <c r="S69" s="166" t="str">
        <f t="shared" ca="1" si="5"/>
        <v>CA</v>
      </c>
      <c r="T69" s="166" t="str">
        <f ca="1">IF(B69="","",IF(ISERROR(MATCH($J69,SorP!$B$1:$B$6205,0)),"",INDIRECT("'SorP'!$A$"&amp;MATCH($J69,SorP!$B$1:$B$6205,0))))</f>
        <v>CA-NL</v>
      </c>
      <c r="U69" s="180"/>
      <c r="V69" s="181">
        <f ca="1">IF(C69="",NA(),MATCH($B69&amp;$C69,'Smelter Look-up'!$J:$J,0))</f>
        <v>92</v>
      </c>
      <c r="X69" s="182">
        <f t="shared" ca="1" si="3"/>
        <v>0</v>
      </c>
      <c r="AB69" s="182" t="str">
        <f t="shared" ca="1" si="4"/>
        <v>CobaltVale – Long Harbour Processing Plant (LHPP)</v>
      </c>
    </row>
    <row r="70" spans="1:28" s="182" customFormat="1" ht="20.25">
      <c r="A70" s="166"/>
      <c r="B70" s="160"/>
      <c r="C70" s="163"/>
      <c r="D70" s="160"/>
      <c r="E70" s="160"/>
      <c r="F70" s="160"/>
      <c r="G70" s="160"/>
      <c r="H70" s="225"/>
      <c r="I70" s="226"/>
      <c r="J70" s="226"/>
      <c r="K70" s="161"/>
      <c r="L70" s="161"/>
      <c r="M70" s="161"/>
      <c r="N70" s="161"/>
      <c r="O70" s="161"/>
      <c r="P70" s="228"/>
      <c r="Q70" s="162"/>
      <c r="R70" s="160"/>
      <c r="S70" s="166"/>
      <c r="T70" s="166"/>
      <c r="U70" s="180"/>
      <c r="V70" s="181"/>
    </row>
    <row r="71" spans="1:28" s="182" customFormat="1" ht="20.25">
      <c r="A71" s="166"/>
      <c r="B71" s="160"/>
      <c r="C71" s="163"/>
      <c r="D71" s="160"/>
      <c r="E71" s="160"/>
      <c r="F71" s="160"/>
      <c r="G71" s="160"/>
      <c r="H71" s="225"/>
      <c r="I71" s="226"/>
      <c r="J71" s="226"/>
      <c r="K71" s="161"/>
      <c r="L71" s="161"/>
      <c r="M71" s="161"/>
      <c r="N71" s="161"/>
      <c r="O71" s="161"/>
      <c r="P71" s="228"/>
      <c r="Q71" s="162"/>
      <c r="R71" s="160"/>
      <c r="S71" s="166"/>
      <c r="T71" s="166"/>
      <c r="U71" s="180"/>
      <c r="V71" s="181"/>
    </row>
    <row r="72" spans="1:28" s="182" customFormat="1" ht="20.25">
      <c r="A72" s="166"/>
      <c r="B72" s="160"/>
      <c r="C72" s="163"/>
      <c r="D72" s="160"/>
      <c r="E72" s="160"/>
      <c r="F72" s="160"/>
      <c r="G72" s="160"/>
      <c r="H72" s="225"/>
      <c r="I72" s="226"/>
      <c r="J72" s="226"/>
      <c r="K72" s="161"/>
      <c r="L72" s="161"/>
      <c r="M72" s="161"/>
      <c r="N72" s="161"/>
      <c r="O72" s="161"/>
      <c r="P72" s="228"/>
      <c r="Q72" s="162"/>
      <c r="R72" s="160"/>
      <c r="S72" s="166"/>
      <c r="T72" s="166"/>
      <c r="U72" s="180"/>
      <c r="V72" s="181"/>
    </row>
    <row r="73" spans="1:28" s="182" customFormat="1" ht="20.25">
      <c r="A73" s="166"/>
      <c r="B73" s="160"/>
      <c r="C73" s="163"/>
      <c r="D73" s="160"/>
      <c r="E73" s="160"/>
      <c r="F73" s="160"/>
      <c r="G73" s="160"/>
      <c r="H73" s="225"/>
      <c r="I73" s="226"/>
      <c r="J73" s="226"/>
      <c r="K73" s="161"/>
      <c r="L73" s="161"/>
      <c r="M73" s="161"/>
      <c r="N73" s="161"/>
      <c r="O73" s="161"/>
      <c r="P73" s="228"/>
      <c r="Q73" s="162"/>
      <c r="R73" s="160"/>
      <c r="S73" s="166"/>
      <c r="T73" s="166"/>
      <c r="U73" s="180"/>
      <c r="V73" s="181"/>
    </row>
    <row r="74" spans="1:28" s="182" customFormat="1" ht="20.25">
      <c r="A74" s="166"/>
      <c r="B74" s="160"/>
      <c r="C74" s="163"/>
      <c r="D74" s="160"/>
      <c r="E74" s="160"/>
      <c r="F74" s="160"/>
      <c r="G74" s="160"/>
      <c r="H74" s="225"/>
      <c r="I74" s="226"/>
      <c r="J74" s="226"/>
      <c r="K74" s="161"/>
      <c r="L74" s="161"/>
      <c r="M74" s="161"/>
      <c r="N74" s="161"/>
      <c r="O74" s="161"/>
      <c r="P74" s="228"/>
      <c r="Q74" s="162"/>
      <c r="R74" s="160"/>
      <c r="S74" s="166"/>
      <c r="T74" s="166"/>
      <c r="U74" s="180"/>
      <c r="V74" s="181"/>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7" type="noConversion"/>
  <conditionalFormatting sqref="B5:B2499">
    <cfRule type="expression" dxfId="29" priority="29" stopIfTrue="1">
      <formula>IF(B5="",TRUE)</formula>
    </cfRule>
  </conditionalFormatting>
  <conditionalFormatting sqref="D5:D2499">
    <cfRule type="expression" dxfId="28" priority="23" stopIfTrue="1">
      <formula>IF(AND(LEN($C5) &gt;0, ($C5 &lt;&gt; "Smelter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 &gt;0, ($C2500 &lt;&gt; "Smelter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10" t="str">
        <f ca="1">OFFSET(L!$C$1,MATCH("Checker"&amp;ADDRESS(ROW(),COLUMN(),4),L!$A:$A,0)-1,SL,,)</f>
        <v>To ensure all required fields have been populated before submitting to your customers review form for any line items highlighted in red</v>
      </c>
      <c r="B1" s="410"/>
      <c r="C1" s="410"/>
      <c r="D1" s="109" t="str">
        <f ca="1">OFFSET(L!$C$1,MATCH("Checker"&amp;ADDRESS(ROW(),COLUMN(),4),L!$A:$A,0)-1,SL,,)</f>
        <v>Required fields remaining to be completed</v>
      </c>
      <c r="E1" s="17" t="s">
        <v>21</v>
      </c>
    </row>
    <row r="2" spans="1:10" ht="15">
      <c r="A2" s="59" t="s">
        <v>53</v>
      </c>
      <c r="B2" s="60" t="str">
        <f>IF(F61=1,"Click here to return to Smelter List","")</f>
        <v>Click here to return to Smelter List</v>
      </c>
      <c r="C2" s="112" t="str">
        <f>IF(F60=1,"Click here to return to Product List","")</f>
        <v/>
      </c>
      <c r="D2" s="135" t="str">
        <f ca="1">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SMC  Corporation</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17</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Michiaki Kitamura</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green@smcjpn.co.jp</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+81-297-52-6433</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Masaaki Mori</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green@smcjpn.co.jp</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+81-297-52-6433</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44858</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17</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t="str">
        <f>Declaration!D38</f>
        <v>Yes</v>
      </c>
      <c r="C23" s="138" t="str">
        <f t="shared" ca="1" si="3"/>
        <v>Complete</v>
      </c>
      <c r="D23" s="210" t="str">
        <f>IF(H23=1,"Click here to answer question 3 for Cobalt","")</f>
        <v/>
      </c>
      <c r="E23" s="17" t="s">
        <v>17</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17</v>
      </c>
      <c r="F27" s="84"/>
      <c r="J27" s="134"/>
    </row>
    <row r="28" spans="1:10" ht="59.45" customHeight="1">
      <c r="A28" s="81" t="str">
        <f ca="1">Declaration!B44</f>
        <v>Cobalt(*)</v>
      </c>
      <c r="B28" s="80" t="str">
        <f>Declaration!D44</f>
        <v>No</v>
      </c>
      <c r="C28" s="138" t="str">
        <f ca="1">IF(H28=1,J28,I28)</f>
        <v>Complete</v>
      </c>
      <c r="D28" s="210" t="str">
        <f>IF(H28=1,"Click here to answer question 4 for Cobalt","")</f>
        <v/>
      </c>
      <c r="E28" s="17" t="s">
        <v>17</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t="str">
        <f>Declaration!D50</f>
        <v>Greater than 90%</v>
      </c>
      <c r="C33" s="138" t="str">
        <f t="shared" ca="1" si="3"/>
        <v>Complete</v>
      </c>
      <c r="D33" s="254" t="str">
        <f>IF(H33=1,"Click here to answer question 5 for Cobalt","")</f>
        <v/>
      </c>
      <c r="E33" s="17" t="s">
        <v>21</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t="str">
        <f>Declaration!D56</f>
        <v>Yes</v>
      </c>
      <c r="C38" s="138" t="str">
        <f t="shared" ca="1" si="3"/>
        <v>Complete</v>
      </c>
      <c r="D38" s="254" t="str">
        <f>IF(H38=1,"Click here to answer question 6 for Cobalt","")</f>
        <v/>
      </c>
      <c r="E38" s="17" t="s">
        <v>15</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t="str">
        <f>Declaration!D62</f>
        <v>Yes</v>
      </c>
      <c r="C43" s="138" t="str">
        <f t="shared" ca="1" si="3"/>
        <v>Complete</v>
      </c>
      <c r="D43" s="88" t="str">
        <f>IF(H43=1,"Click here to answer question 7 for Cobalt","")</f>
        <v/>
      </c>
      <c r="E43" s="17" t="s">
        <v>17</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210" t="str">
        <f>IF(H50=1,"Click here to answer question (B)","")</f>
        <v/>
      </c>
      <c r="E50" s="17" t="s">
        <v>17</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t="str">
        <f>Declaration!G71</f>
        <v>https://www.smcworld.com/assets/about/en-jp/pdf/smc_group_code_of_conduct_en.pdf</v>
      </c>
      <c r="C51" s="80" t="str">
        <f ca="1">IF(H51=1,J51,I51)</f>
        <v>Complete</v>
      </c>
      <c r="D51" s="221" t="str">
        <f>IF(H51=1,"Click here to answer question (C)","")</f>
        <v/>
      </c>
      <c r="E51" s="17" t="s">
        <v>17</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t="str">
        <f>Declaration!D74</f>
        <v>Yes</v>
      </c>
      <c r="C53" s="138" t="str">
        <f t="shared" ca="1" si="3"/>
        <v>Complete</v>
      </c>
      <c r="D53" s="210"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210" t="str">
        <f>IF(H56=1,"Click here to answer question (E)","")</f>
        <v/>
      </c>
      <c r="E56" s="17" t="s">
        <v>17</v>
      </c>
      <c r="F56" s="85">
        <f t="shared" si="10"/>
        <v>1</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1</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G. Does your review process include corrective action management? (*)</v>
      </c>
      <c r="B59" s="80" t="str">
        <f>Declaration!D83</f>
        <v>Yes</v>
      </c>
      <c r="C59" s="138" t="str">
        <f t="shared" ca="1" si="3"/>
        <v>Complete</v>
      </c>
      <c r="D59" s="210" t="str">
        <f>IF(H59=1,"Click here to answer question (G)","")</f>
        <v/>
      </c>
      <c r="E59" s="17" t="s">
        <v>17</v>
      </c>
      <c r="F59" s="85">
        <f t="shared" si="10"/>
        <v>1</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 ca="1">IF(H61=0,"","Click here to provide smelter information")</f>
        <v/>
      </c>
      <c r="E61" s="17" t="s">
        <v>17</v>
      </c>
      <c r="F61" s="85">
        <f>F23</f>
        <v>1</v>
      </c>
      <c r="G61" s="63">
        <f ca="1">IF(AND(COUNTIF(SmelterIdetifiedForMetal,"Cobalt")&gt;0,COUNTIF('Smelter List'!AB$5:AB$2499,"Cobalt?*")&gt;0),0,1)</f>
        <v>0</v>
      </c>
      <c r="H61" s="64">
        <f ca="1">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 ca="1">IF(H62=0,"","Click here to provide smelter information")</f>
        <v/>
      </c>
      <c r="E62" s="17" t="s">
        <v>17</v>
      </c>
      <c r="F62" s="85">
        <f>F24</f>
        <v>0</v>
      </c>
      <c r="G62" s="63">
        <f ca="1">IF(AND(COUNTIF(SmelterIdetifiedForMetal,"Mica")&gt;0,COUNTIF('Smelter List'!AB$5:AB$2499,"Mica?*")&gt;0),0,1)</f>
        <v>0</v>
      </c>
      <c r="H62" s="64">
        <f ca="1">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1</v>
      </c>
      <c r="G63" s="63">
        <f ca="1">IF(COUNTIF('Smelter List'!C5:C9,"")&lt;10,0,1)</f>
        <v>0</v>
      </c>
      <c r="H63" s="64" t="e">
        <f ca="1">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1</v>
      </c>
      <c r="G64" s="63">
        <f ca="1">IF(COUNTIF('Smelter List'!C5:C10,"")&lt;10,0,1)</f>
        <v>0</v>
      </c>
      <c r="H64" s="64" t="e">
        <f ca="1">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 ca="1">SUM(H4:H62)</f>
        <v>0</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1" display="Declaration!B81" xr:uid="{00000000-0004-0000-0500-00000E000000}"/>
    <hyperlink ref="D56" location="Declaration!B77" display="Declaration!B77" xr:uid="{00000000-0004-0000-0500-00000F000000}"/>
    <hyperlink ref="D55" location="Declaration!B75" display="Declaration!B75"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56" display="Declaration!B56"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2" t="str">
        <f ca="1">OFFSET(L!$C$1,MATCH("Product List"&amp;ADDRESS(ROW(),COLUMN(),4),L!$A:$A,0)-1,SL,,)</f>
        <v>Completion required only if reporting level "Product (or List of Products)" selected on the 'Declaration' worksheet.</v>
      </c>
      <c r="B1" s="413"/>
      <c r="C1" s="413"/>
      <c r="D1" s="413"/>
      <c r="E1" s="108"/>
    </row>
    <row r="2" spans="1:35">
      <c r="A2" s="20"/>
      <c r="B2" s="110"/>
      <c r="C2" s="110"/>
      <c r="D2"/>
      <c r="E2" s="21"/>
    </row>
    <row r="3" spans="1:35">
      <c r="A3" s="20"/>
      <c r="B3" s="110"/>
      <c r="C3" s="110"/>
      <c r="D3" s="110"/>
      <c r="E3" s="21"/>
    </row>
    <row r="4" spans="1:35" ht="15.75" customHeight="1">
      <c r="A4" s="20"/>
      <c r="B4" s="411" t="s">
        <v>53</v>
      </c>
      <c r="C4" s="411"/>
      <c r="D4" s="41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4" t="str">
        <f ca="1">OFFSET(L!$C$1,MATCH("General"&amp;"Cpy",L!$A:$A,0)-1,SL,,)</f>
        <v>© 2021 Responsible Minerals Initiative. All rights reserved.</v>
      </c>
      <c r="C1001" s="414"/>
      <c r="D1001" s="414"/>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5"/>
      <c r="C1" s="415"/>
      <c r="D1" s="415"/>
      <c r="E1" s="415"/>
      <c r="F1" s="415"/>
      <c r="G1" s="415"/>
    </row>
    <row r="2" spans="1:13">
      <c r="A2" s="416"/>
      <c r="B2" s="416"/>
      <c r="C2" s="416"/>
      <c r="D2" s="416"/>
      <c r="E2" s="416"/>
      <c r="F2" s="416"/>
      <c r="G2" s="416"/>
      <c r="H2" s="416"/>
      <c r="I2" s="416"/>
    </row>
    <row r="3" spans="1:13">
      <c r="A3" s="416"/>
      <c r="B3" s="416"/>
      <c r="C3" s="416"/>
      <c r="D3" s="416"/>
      <c r="E3" s="416"/>
      <c r="F3" s="416"/>
      <c r="G3" s="416"/>
      <c r="H3" s="416"/>
      <c r="I3" s="416"/>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ht="28.5">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56.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56.25">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35">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71.25">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42.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28">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42.25">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409.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28.25">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28.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8.5">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ht="28.5">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71.25">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71.25"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99.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99.7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8F5AB8A6-B398-47F4-AFCF-BBC9755730CB}"/>
    </customSheetView>
    <customSheetView guid="{C59130F4-2E03-5E48-94CE-6E4A0484DB9E}" showAutoFilter="1">
      <selection activeCell="E4" sqref="E4"/>
      <pageMargins left="0" right="0" top="0" bottom="0" header="0" footer="0"/>
      <pageSetup paperSize="9" orientation="portrait"/>
      <headerFooter alignWithMargins="0"/>
      <autoFilter ref="B1:N1" xr:uid="{56819079-88FE-4ADA-A72B-E76EA7940532}"/>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88F4151792DCA540ACF5F012EC495395" ma:contentTypeVersion="16" ma:contentTypeDescription="新しいドキュメントを作成します。" ma:contentTypeScope="" ma:versionID="4b15483a0b06304b19194625ecfa0759">
  <xsd:schema xmlns:xsd="http://www.w3.org/2001/XMLSchema" xmlns:xs="http://www.w3.org/2001/XMLSchema" xmlns:p="http://schemas.microsoft.com/office/2006/metadata/properties" xmlns:ns2="51632d10-89a5-4585-8cd3-349a53166999" xmlns:ns3="18bcad6d-6954-4574-a87f-a74e8dd31c01" targetNamespace="http://schemas.microsoft.com/office/2006/metadata/properties" ma:root="true" ma:fieldsID="454b294a4534a235eef450faf0375be8" ns2:_="" ns3:_="">
    <xsd:import namespace="51632d10-89a5-4585-8cd3-349a53166999"/>
    <xsd:import namespace="18bcad6d-6954-4574-a87f-a74e8dd31c0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632d10-89a5-4585-8cd3-349a531669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547eb181-6f95-4e45-954e-86874d762f3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8bcad6d-6954-4574-a87f-a74e8dd31c01" elementFormDefault="qualified">
    <xsd:import namespace="http://schemas.microsoft.com/office/2006/documentManagement/types"/>
    <xsd:import namespace="http://schemas.microsoft.com/office/infopath/2007/PartnerControls"/>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62fe7ff2-21d1-414e-8ac3-4894fc27f9da}" ma:internalName="TaxCatchAll" ma:showField="CatchAllData" ma:web="18bcad6d-6954-4574-a87f-a74e8dd31c0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8bcad6d-6954-4574-a87f-a74e8dd31c01" xsi:nil="true"/>
    <lcf76f155ced4ddcb4097134ff3c332f xmlns="51632d10-89a5-4585-8cd3-349a5316699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1A6E18-41C6-4F5E-B146-18EDF8F8F7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632d10-89a5-4585-8cd3-349a53166999"/>
    <ds:schemaRef ds:uri="18bcad6d-6954-4574-a87f-a74e8dd31c0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18bcad6d-6954-4574-a87f-a74e8dd31c01"/>
    <ds:schemaRef ds:uri="51632d10-89a5-4585-8cd3-349a53166999"/>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Annette</cp:lastModifiedBy>
  <cp:revision/>
  <cp:lastPrinted>2022-10-21T03:44:42Z</cp:lastPrinted>
  <dcterms:created xsi:type="dcterms:W3CDTF">2010-06-21T21:00:23Z</dcterms:created>
  <dcterms:modified xsi:type="dcterms:W3CDTF">2023-03-14T14:01:45Z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MSIP_Label_0da670c2-3b8f-42e7-874d-0f91d5e9a0b2_Enabled">
    <vt:lpwstr>true</vt:lpwstr>
  </property>
  <property fmtid="{D5CDD505-2E9C-101B-9397-08002B2CF9AE}" pid="5" name="MSIP_Label_0da670c2-3b8f-42e7-874d-0f91d5e9a0b2_SetDate">
    <vt:lpwstr>2023-03-14T14:01:44Z</vt:lpwstr>
  </property>
  <property fmtid="{D5CDD505-2E9C-101B-9397-08002B2CF9AE}" pid="6" name="MSIP_Label_0da670c2-3b8f-42e7-874d-0f91d5e9a0b2_Method">
    <vt:lpwstr>Privileged</vt:lpwstr>
  </property>
  <property fmtid="{D5CDD505-2E9C-101B-9397-08002B2CF9AE}" pid="7" name="MSIP_Label_0da670c2-3b8f-42e7-874d-0f91d5e9a0b2_Name">
    <vt:lpwstr>Public</vt:lpwstr>
  </property>
  <property fmtid="{D5CDD505-2E9C-101B-9397-08002B2CF9AE}" pid="8" name="MSIP_Label_0da670c2-3b8f-42e7-874d-0f91d5e9a0b2_SiteId">
    <vt:lpwstr>199d042a-fc28-40be-ab3b-0fe2deab4f8f</vt:lpwstr>
  </property>
  <property fmtid="{D5CDD505-2E9C-101B-9397-08002B2CF9AE}" pid="9" name="MSIP_Label_0da670c2-3b8f-42e7-874d-0f91d5e9a0b2_ActionId">
    <vt:lpwstr>3133268f-0b06-497a-9a00-2b9a9f1f22e2</vt:lpwstr>
  </property>
  <property fmtid="{D5CDD505-2E9C-101B-9397-08002B2CF9AE}" pid="10" name="MSIP_Label_0da670c2-3b8f-42e7-874d-0f91d5e9a0b2_ContentBits">
    <vt:lpwstr>0</vt:lpwstr>
  </property>
</Properties>
</file>